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utherntravel-my.sharepoint.com/personal/javad_azizi_walshegroup_com/Documents/Oman Air/Pricing/New Zealand/Oneworld/"/>
    </mc:Choice>
  </mc:AlternateContent>
  <xr:revisionPtr revIDLastSave="84" documentId="13_ncr:1_{F474E55C-184A-46D7-913E-870B0F34659C}" xr6:coauthVersionLast="47" xr6:coauthVersionMax="47" xr10:uidLastSave="{2A765EB7-6FEB-4B23-AA13-EA0B087AEB13}"/>
  <bookViews>
    <workbookView xWindow="-108" yWindow="-108" windowWidth="23256" windowHeight="12456" activeTab="2" xr2:uid="{BAA4EAEB-CE3D-46B0-A188-05D0E15B4113}"/>
  </bookViews>
  <sheets>
    <sheet name="AKL" sheetId="3" r:id="rId1"/>
    <sheet name="Routings_Chart 1_Working" sheetId="2" r:id="rId2"/>
    <sheet name="with 3 Stops" sheetId="5" r:id="rId3"/>
  </sheets>
  <definedNames>
    <definedName name="_xlnm._FilterDatabase" localSheetId="0" hidden="1">AKL!$J$1:$J$79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2" i="2" l="1"/>
  <c r="Q32" i="2" s="1"/>
  <c r="R32" i="2" s="1"/>
  <c r="S32" i="2" s="1"/>
  <c r="T32" i="2" s="1"/>
  <c r="U32" i="2" s="1"/>
  <c r="V32" i="2" s="1"/>
  <c r="W32" i="2" s="1"/>
  <c r="O32" i="2"/>
  <c r="O31" i="2"/>
  <c r="P31" i="2" s="1"/>
  <c r="Q31" i="2" s="1"/>
  <c r="R31" i="2" s="1"/>
  <c r="S31" i="2" s="1"/>
  <c r="T31" i="2" s="1"/>
  <c r="U31" i="2" s="1"/>
  <c r="V31" i="2" s="1"/>
  <c r="W31" i="2" s="1"/>
  <c r="O30" i="2"/>
  <c r="P30" i="2" s="1"/>
  <c r="Q30" i="2" s="1"/>
  <c r="R30" i="2" s="1"/>
  <c r="S30" i="2" s="1"/>
  <c r="T30" i="2" s="1"/>
  <c r="U30" i="2" s="1"/>
  <c r="V30" i="2" s="1"/>
  <c r="W30" i="2" s="1"/>
  <c r="O29" i="2"/>
  <c r="P29" i="2" s="1"/>
  <c r="Q29" i="2" s="1"/>
  <c r="R29" i="2" s="1"/>
  <c r="S29" i="2" s="1"/>
  <c r="T29" i="2" s="1"/>
  <c r="U29" i="2" s="1"/>
  <c r="V29" i="2" s="1"/>
  <c r="W29" i="2" s="1"/>
  <c r="U25" i="2"/>
  <c r="U24" i="2"/>
  <c r="U23" i="2"/>
  <c r="U22" i="2"/>
  <c r="U21" i="2"/>
  <c r="U20" i="2"/>
  <c r="U19" i="2"/>
  <c r="U18" i="2"/>
  <c r="U17" i="2"/>
  <c r="U16" i="2"/>
  <c r="K75" i="2"/>
  <c r="J75" i="2"/>
  <c r="I75" i="2"/>
  <c r="H75" i="2"/>
  <c r="G75" i="2"/>
  <c r="F75" i="2"/>
  <c r="E75" i="2"/>
  <c r="D75" i="2"/>
  <c r="C75" i="2"/>
  <c r="B75" i="2"/>
  <c r="K64" i="2"/>
  <c r="J64" i="2"/>
  <c r="I64" i="2"/>
  <c r="H64" i="2"/>
  <c r="G64" i="2"/>
  <c r="F64" i="2"/>
  <c r="E64" i="2"/>
  <c r="D64" i="2"/>
  <c r="C64" i="2"/>
  <c r="B64" i="2"/>
  <c r="B65" i="2" l="1"/>
  <c r="C32" i="2"/>
  <c r="C31" i="2"/>
  <c r="C30" i="2"/>
  <c r="C29" i="2"/>
  <c r="B37" i="2"/>
  <c r="B42" i="2" s="1"/>
  <c r="B76" i="2" l="1"/>
  <c r="D31" i="2" l="1"/>
  <c r="D30" i="2"/>
  <c r="D29" i="2"/>
  <c r="D32" i="2"/>
  <c r="E32" i="2" l="1"/>
  <c r="C39" i="2"/>
  <c r="K60" i="2" l="1"/>
  <c r="J60" i="2"/>
  <c r="I60" i="2"/>
  <c r="H60" i="2"/>
  <c r="G60" i="2"/>
  <c r="F60" i="2"/>
  <c r="E60" i="2"/>
  <c r="D60" i="2"/>
  <c r="C60" i="2"/>
  <c r="B60" i="2"/>
  <c r="M59" i="2"/>
  <c r="M58" i="2"/>
  <c r="M57" i="2"/>
  <c r="M56" i="2"/>
  <c r="B40" i="2"/>
  <c r="B45" i="2" s="1"/>
  <c r="B39" i="2"/>
  <c r="B44" i="2" s="1"/>
  <c r="B38" i="2"/>
  <c r="B43" i="2" s="1"/>
  <c r="B50" i="2"/>
  <c r="B77" i="2" l="1"/>
  <c r="B66" i="2"/>
  <c r="B67" i="2"/>
  <c r="B78" i="2"/>
  <c r="B68" i="2"/>
  <c r="B79" i="2"/>
  <c r="B53" i="2"/>
  <c r="B51" i="2"/>
  <c r="B52" i="2"/>
  <c r="M60" i="2"/>
  <c r="F32" i="2"/>
  <c r="G32" i="2" s="1"/>
  <c r="H32" i="2" s="1"/>
  <c r="I32" i="2" s="1"/>
  <c r="J32" i="2" s="1"/>
  <c r="K32" i="2" s="1"/>
  <c r="E31" i="2"/>
  <c r="E30" i="2"/>
  <c r="F30" i="2" s="1"/>
  <c r="G30" i="2" s="1"/>
  <c r="H30" i="2" s="1"/>
  <c r="I30" i="2" s="1"/>
  <c r="J30" i="2" s="1"/>
  <c r="K30" i="2" s="1"/>
  <c r="E29" i="2"/>
  <c r="C38" i="2"/>
  <c r="C43" i="2" s="1"/>
  <c r="C44" i="2"/>
  <c r="D38" i="2"/>
  <c r="D43" i="2" s="1"/>
  <c r="C40" i="2"/>
  <c r="C45" i="2" s="1"/>
  <c r="D39" i="2"/>
  <c r="D44" i="2" s="1"/>
  <c r="C37" i="2"/>
  <c r="C42" i="2" s="1"/>
  <c r="B54" i="2" l="1"/>
  <c r="D66" i="2"/>
  <c r="D77" i="2"/>
  <c r="C76" i="2"/>
  <c r="C65" i="2"/>
  <c r="C79" i="2"/>
  <c r="C68" i="2"/>
  <c r="C66" i="2"/>
  <c r="C77" i="2"/>
  <c r="D67" i="2"/>
  <c r="D78" i="2"/>
  <c r="C67" i="2"/>
  <c r="C78" i="2"/>
  <c r="C50" i="2"/>
  <c r="D52" i="2"/>
  <c r="C53" i="2"/>
  <c r="D51" i="2"/>
  <c r="C52" i="2"/>
  <c r="C51" i="2"/>
  <c r="D40" i="2"/>
  <c r="D45" i="2" s="1"/>
  <c r="F31" i="2"/>
  <c r="G31" i="2" s="1"/>
  <c r="H31" i="2" s="1"/>
  <c r="I31" i="2" s="1"/>
  <c r="J31" i="2" s="1"/>
  <c r="K31" i="2" s="1"/>
  <c r="E39" i="2"/>
  <c r="E44" i="2" s="1"/>
  <c r="F29" i="2"/>
  <c r="G29" i="2" s="1"/>
  <c r="H29" i="2" s="1"/>
  <c r="I29" i="2" s="1"/>
  <c r="J29" i="2" s="1"/>
  <c r="K29" i="2" s="1"/>
  <c r="E37" i="2"/>
  <c r="E42" i="2" s="1"/>
  <c r="D37" i="2"/>
  <c r="D42" i="2" s="1"/>
  <c r="E40" i="2"/>
  <c r="E45" i="2" s="1"/>
  <c r="E38" i="2"/>
  <c r="E43" i="2" s="1"/>
  <c r="D76" i="2" l="1"/>
  <c r="D65" i="2"/>
  <c r="E65" i="2"/>
  <c r="E76" i="2"/>
  <c r="E67" i="2"/>
  <c r="E78" i="2"/>
  <c r="D68" i="2"/>
  <c r="D79" i="2"/>
  <c r="E66" i="2"/>
  <c r="E77" i="2"/>
  <c r="E79" i="2"/>
  <c r="E68" i="2"/>
  <c r="E51" i="2"/>
  <c r="E53" i="2"/>
  <c r="C54" i="2"/>
  <c r="D50" i="2"/>
  <c r="E50" i="2"/>
  <c r="E52" i="2"/>
  <c r="D53" i="2"/>
  <c r="I37" i="2"/>
  <c r="I42" i="2" s="1"/>
  <c r="F39" i="2"/>
  <c r="F44" i="2" s="1"/>
  <c r="F37" i="2"/>
  <c r="F42" i="2" s="1"/>
  <c r="H37" i="2"/>
  <c r="H42" i="2" s="1"/>
  <c r="G37" i="2"/>
  <c r="G42" i="2" s="1"/>
  <c r="F40" i="2"/>
  <c r="F45" i="2" s="1"/>
  <c r="G39" i="2"/>
  <c r="G44" i="2" s="1"/>
  <c r="F38" i="2"/>
  <c r="F43" i="2" s="1"/>
  <c r="G65" i="2" l="1"/>
  <c r="G76" i="2"/>
  <c r="H65" i="2"/>
  <c r="H76" i="2"/>
  <c r="F76" i="2"/>
  <c r="F65" i="2"/>
  <c r="F78" i="2"/>
  <c r="F67" i="2"/>
  <c r="I76" i="2"/>
  <c r="I65" i="2"/>
  <c r="F77" i="2"/>
  <c r="F66" i="2"/>
  <c r="G67" i="2"/>
  <c r="G78" i="2"/>
  <c r="F68" i="2"/>
  <c r="F79" i="2"/>
  <c r="E54" i="2"/>
  <c r="D54" i="2"/>
  <c r="F51" i="2"/>
  <c r="G52" i="2"/>
  <c r="F53" i="2"/>
  <c r="G50" i="2"/>
  <c r="H50" i="2"/>
  <c r="F50" i="2"/>
  <c r="F52" i="2"/>
  <c r="I50" i="2"/>
  <c r="G40" i="2"/>
  <c r="G45" i="2" s="1"/>
  <c r="H39" i="2"/>
  <c r="H44" i="2" s="1"/>
  <c r="G38" i="2"/>
  <c r="G43" i="2" s="1"/>
  <c r="K37" i="2"/>
  <c r="K42" i="2" s="1"/>
  <c r="J37" i="2"/>
  <c r="J42" i="2" s="1"/>
  <c r="G66" i="2" l="1"/>
  <c r="G77" i="2"/>
  <c r="J65" i="2"/>
  <c r="J76" i="2"/>
  <c r="K65" i="2"/>
  <c r="K76" i="2"/>
  <c r="H67" i="2"/>
  <c r="H78" i="2"/>
  <c r="G68" i="2"/>
  <c r="G79" i="2"/>
  <c r="F54" i="2"/>
  <c r="K50" i="2"/>
  <c r="J50" i="2"/>
  <c r="G51" i="2"/>
  <c r="H52" i="2"/>
  <c r="G53" i="2"/>
  <c r="G54" i="2"/>
  <c r="H40" i="2"/>
  <c r="H45" i="2" s="1"/>
  <c r="I39" i="2"/>
  <c r="I44" i="2" s="1"/>
  <c r="H38" i="2"/>
  <c r="H43" i="2" s="1"/>
  <c r="H66" i="2" l="1"/>
  <c r="H77" i="2"/>
  <c r="I78" i="2"/>
  <c r="I67" i="2"/>
  <c r="H79" i="2"/>
  <c r="H68" i="2"/>
  <c r="M50" i="2"/>
  <c r="H51" i="2"/>
  <c r="I52" i="2"/>
  <c r="H53" i="2"/>
  <c r="H54" i="2"/>
  <c r="I40" i="2"/>
  <c r="I45" i="2" s="1"/>
  <c r="K39" i="2"/>
  <c r="K44" i="2" s="1"/>
  <c r="J39" i="2"/>
  <c r="J44" i="2" s="1"/>
  <c r="I38" i="2"/>
  <c r="I43" i="2" s="1"/>
  <c r="I68" i="2" l="1"/>
  <c r="I79" i="2"/>
  <c r="I77" i="2"/>
  <c r="I66" i="2"/>
  <c r="J67" i="2"/>
  <c r="J78" i="2"/>
  <c r="K67" i="2"/>
  <c r="K78" i="2"/>
  <c r="I51" i="2"/>
  <c r="J52" i="2"/>
  <c r="K52" i="2"/>
  <c r="I53" i="2"/>
  <c r="K40" i="2"/>
  <c r="K45" i="2" s="1"/>
  <c r="J40" i="2"/>
  <c r="J45" i="2" s="1"/>
  <c r="J38" i="2"/>
  <c r="J43" i="2" s="1"/>
  <c r="K38" i="2"/>
  <c r="K43" i="2" s="1"/>
  <c r="M52" i="2" l="1"/>
  <c r="I54" i="2"/>
  <c r="K66" i="2"/>
  <c r="K77" i="2"/>
  <c r="J66" i="2"/>
  <c r="J77" i="2"/>
  <c r="J68" i="2"/>
  <c r="J79" i="2"/>
  <c r="K79" i="2"/>
  <c r="K68" i="2"/>
  <c r="J53" i="2"/>
  <c r="K53" i="2"/>
  <c r="K51" i="2"/>
  <c r="J51" i="2"/>
  <c r="M51" i="2" s="1"/>
  <c r="K54" i="2" l="1"/>
  <c r="J54" i="2"/>
  <c r="M53" i="2"/>
  <c r="M54" i="2" l="1"/>
  <c r="R2" i="3"/>
  <c r="R3" i="3"/>
  <c r="R4" i="3"/>
  <c r="R5" i="3"/>
  <c r="R6" i="3"/>
  <c r="R7" i="3"/>
  <c r="R8" i="3"/>
  <c r="K13" i="3"/>
  <c r="L13" i="3"/>
  <c r="R13" i="3"/>
  <c r="R14" i="3"/>
  <c r="R15" i="3"/>
  <c r="R16" i="3"/>
  <c r="R17" i="3"/>
  <c r="R18" i="3"/>
  <c r="R19" i="3"/>
  <c r="R20" i="3"/>
  <c r="R21" i="3"/>
  <c r="R22" i="3"/>
  <c r="R66" i="3" l="1"/>
  <c r="R65" i="3"/>
  <c r="R64" i="3"/>
  <c r="R63" i="3"/>
  <c r="R62" i="3"/>
  <c r="R61" i="3"/>
  <c r="R60" i="3"/>
  <c r="R59" i="3"/>
  <c r="R58" i="3"/>
  <c r="R57" i="3"/>
  <c r="L57" i="3"/>
  <c r="K57" i="3"/>
  <c r="R55" i="3"/>
  <c r="R54" i="3"/>
  <c r="R53" i="3"/>
  <c r="R52" i="3"/>
  <c r="R51" i="3"/>
  <c r="R50" i="3"/>
  <c r="R49" i="3"/>
  <c r="R48" i="3"/>
  <c r="R47" i="3"/>
  <c r="R46" i="3"/>
  <c r="L46" i="3"/>
  <c r="K46" i="3"/>
  <c r="R44" i="3"/>
  <c r="R43" i="3"/>
  <c r="R42" i="3"/>
  <c r="R41" i="3"/>
  <c r="R40" i="3"/>
  <c r="R39" i="3"/>
  <c r="R38" i="3"/>
  <c r="R37" i="3"/>
  <c r="R36" i="3"/>
  <c r="R35" i="3"/>
  <c r="L35" i="3"/>
  <c r="K35" i="3"/>
  <c r="R33" i="3"/>
  <c r="R32" i="3"/>
  <c r="R31" i="3"/>
  <c r="R30" i="3"/>
  <c r="R29" i="3"/>
  <c r="R28" i="3"/>
  <c r="R27" i="3"/>
  <c r="R26" i="3"/>
  <c r="R25" i="3"/>
  <c r="R24" i="3"/>
  <c r="L24" i="3"/>
  <c r="K24" i="3"/>
  <c r="R11" i="3"/>
  <c r="R10" i="3"/>
  <c r="R9" i="3"/>
  <c r="L2" i="3"/>
  <c r="K2" i="3"/>
</calcChain>
</file>

<file path=xl/sharedStrings.xml><?xml version="1.0" encoding="utf-8"?>
<sst xmlns="http://schemas.openxmlformats.org/spreadsheetml/2006/main" count="1392" uniqueCount="218">
  <si>
    <t>Origin</t>
  </si>
  <si>
    <t>Destn</t>
  </si>
  <si>
    <t>Fare Basis</t>
  </si>
  <si>
    <t>OW/RT</t>
  </si>
  <si>
    <t>Cur</t>
  </si>
  <si>
    <t>Base Fare</t>
  </si>
  <si>
    <t>YQ</t>
  </si>
  <si>
    <t>MCT/SLL</t>
  </si>
  <si>
    <t>RT</t>
  </si>
  <si>
    <t>R</t>
  </si>
  <si>
    <t>-</t>
  </si>
  <si>
    <t>LON</t>
  </si>
  <si>
    <t>Prime RBD</t>
  </si>
  <si>
    <t>R/AV</t>
  </si>
  <si>
    <t>REQ</t>
  </si>
  <si>
    <t>P</t>
  </si>
  <si>
    <t>O</t>
  </si>
  <si>
    <t>I</t>
  </si>
  <si>
    <t>N</t>
  </si>
  <si>
    <t>D</t>
  </si>
  <si>
    <t>S</t>
  </si>
  <si>
    <t>C</t>
  </si>
  <si>
    <t>V</t>
  </si>
  <si>
    <t>J</t>
  </si>
  <si>
    <t>L</t>
  </si>
  <si>
    <t>KUL/MNL/JKT/SIN/BKK/HKT - WY Destination &amp; v.v.</t>
  </si>
  <si>
    <t>Q</t>
  </si>
  <si>
    <t>M</t>
  </si>
  <si>
    <t>K</t>
  </si>
  <si>
    <t>H</t>
  </si>
  <si>
    <t>Regions</t>
  </si>
  <si>
    <t>MCT/SLL/GCC</t>
  </si>
  <si>
    <t>ISC</t>
  </si>
  <si>
    <t>LHR/EU</t>
  </si>
  <si>
    <t>RBD O</t>
  </si>
  <si>
    <t>RBD Q</t>
  </si>
  <si>
    <t>RBD N</t>
  </si>
  <si>
    <t>RBD S</t>
  </si>
  <si>
    <t>RBD V</t>
  </si>
  <si>
    <t>RBD L</t>
  </si>
  <si>
    <t>RBD M</t>
  </si>
  <si>
    <t>RBD K</t>
  </si>
  <si>
    <t>RBD H</t>
  </si>
  <si>
    <t>CAI/AMM/BGW + IST + MOW + AER + DAR/ZNZ</t>
  </si>
  <si>
    <t>Sector/Portion</t>
  </si>
  <si>
    <t>T</t>
  </si>
  <si>
    <t>B</t>
  </si>
  <si>
    <t>E</t>
  </si>
  <si>
    <t>APEX</t>
  </si>
  <si>
    <t>Max Stay</t>
  </si>
  <si>
    <t>3M</t>
  </si>
  <si>
    <t>NZD</t>
  </si>
  <si>
    <t>6M</t>
  </si>
  <si>
    <t>12M</t>
  </si>
  <si>
    <t>DXB/KWI/BAH/DOH/
JED/RUH/DMM/MED/TIF</t>
  </si>
  <si>
    <t>KHI/DEL/LKO/BOM/
GOX/BLR/HYD/MAA/
COK/CCJ/TRV/MLE/DAC</t>
  </si>
  <si>
    <t>FRA/MUC/PAR/MIL/
ROM/ZRH/AMS/CPH</t>
  </si>
  <si>
    <t>Refund</t>
  </si>
  <si>
    <t>Date Change</t>
  </si>
  <si>
    <t>No Show</t>
  </si>
  <si>
    <t>Partial Refund</t>
  </si>
  <si>
    <t>Deduct OW fare of the Flown Portion</t>
  </si>
  <si>
    <t>Oneway</t>
  </si>
  <si>
    <t>70% of RT fare</t>
  </si>
  <si>
    <t>Child Fare</t>
  </si>
  <si>
    <t>75% of ADT fare</t>
  </si>
  <si>
    <t>Infant Fare</t>
  </si>
  <si>
    <t>20% of ADT fare</t>
  </si>
  <si>
    <t>Infant with a Seat</t>
  </si>
  <si>
    <t>Stopover</t>
  </si>
  <si>
    <t>1 FOC &amp; Additional at NZD 75</t>
  </si>
  <si>
    <t>High Season Dates :</t>
  </si>
  <si>
    <t>10Dec - 10Jan.</t>
  </si>
  <si>
    <t xml:space="preserve">High Season Surcharges : </t>
  </si>
  <si>
    <t xml:space="preserve">Weekend Surcharge (FRA / SAT): </t>
  </si>
  <si>
    <t>*MH Prime Flight Surcharge per Ticket</t>
  </si>
  <si>
    <t>* The above MH Prime Surcharge will be applied when Travel Between AKL &amp; KUL is only on MH Prime, and NOT MH CS.</t>
  </si>
  <si>
    <t>Primary Routing :</t>
  </si>
  <si>
    <t>AKL ---- MH Prime &amp; MH CS ---- KUL ---- WY Prime ---- MCT ---- WY Prime ---- XXX</t>
  </si>
  <si>
    <t>* Fare sheet is a guide, for details refer to GDS</t>
  </si>
  <si>
    <t>WY</t>
  </si>
  <si>
    <t>Y</t>
  </si>
  <si>
    <t>Flight Combinations in Far East</t>
  </si>
  <si>
    <t>Routing :</t>
  </si>
  <si>
    <t>AKL ---- MH Prime &amp; MH CS ---- KUL ---- MH Prime &amp; MH CS ---- BKK/HKT/MNL/JKT/SIN ---- WY Prime ---- MCT ---- WY Prime ---- XXX</t>
  </si>
  <si>
    <t>MH/MHWY+MH/MHWY</t>
  </si>
  <si>
    <t xml:space="preserve">Surcharge :  </t>
  </si>
  <si>
    <t xml:space="preserve">Application : </t>
  </si>
  <si>
    <t>When travel is between KUL &amp; BKK/HKT/MNL/JKT/SIN</t>
  </si>
  <si>
    <t>CX/CXWY + CX/CXWY</t>
  </si>
  <si>
    <t>CX/CXWY + MH/MHWY</t>
  </si>
  <si>
    <t>When travel is via HKG</t>
  </si>
  <si>
    <t>QF+QF/QFWY</t>
  </si>
  <si>
    <t>QF+MH/MHWY</t>
  </si>
  <si>
    <t>AKL/WLG/CHC/ZQN ---- QF Prime ---- SYD/MEL/BNE/ADL/PER ---- QF Prime &amp; QF CS ---- DEL/BLR ---- WY Prime ---- MCT ---- WY Prime ---- XXX</t>
  </si>
  <si>
    <t>When travel is between NZ &amp; AU</t>
  </si>
  <si>
    <t>QF+QF/QFWY+MH/MHWY</t>
  </si>
  <si>
    <t>When travel is between KUL &amp; BKK/HKT/MNL/JKT</t>
  </si>
  <si>
    <t>When travel is between DPS/SIN &amp; KUL</t>
  </si>
  <si>
    <t>QF+QF/QFWY+TG</t>
  </si>
  <si>
    <t>AKL/WLG/CHC/ZQN ---- QF Prime ---- MEL ---- AY Prime ---- BKK ---- WY Prime ---- MCT ---- WY Prime ---- XXX</t>
  </si>
  <si>
    <t>QF+AY</t>
  </si>
  <si>
    <t>AKL/WLG/CHC/ZQN ---- QF Prime  ---- MEL/SYD ---- QF Prime ---- BLR/DEL ---- WY Prime ---- MCT ---- WY Prime ---- XXX</t>
  </si>
  <si>
    <t>QF+QF</t>
  </si>
  <si>
    <t>AKL ---- MH Prime &amp; MH CS ---- KUL ---- TG Prime &amp; TG CS ---- BKK/HKT---- WY Prime ---- MCT ---- WY Prime ---- XXX</t>
  </si>
  <si>
    <t>MH/MHWY+TG/TGWY</t>
  </si>
  <si>
    <t>When travel is between KUL &amp; BKK on TG</t>
  </si>
  <si>
    <t>TG</t>
  </si>
  <si>
    <t>Currency</t>
  </si>
  <si>
    <t>Payout</t>
  </si>
  <si>
    <t>BCMMXRNZ</t>
  </si>
  <si>
    <t>OCMMX3NZ</t>
  </si>
  <si>
    <t>QCMMX6NZ</t>
  </si>
  <si>
    <t>NCMMX6NZ</t>
  </si>
  <si>
    <t>SCMMXRNZ</t>
  </si>
  <si>
    <t>VCMMXRNZ</t>
  </si>
  <si>
    <t>LCMMXRNZ</t>
  </si>
  <si>
    <t>MCMMXRNZ</t>
  </si>
  <si>
    <t>KCMMXRNZ</t>
  </si>
  <si>
    <t>HCMMXRNZ</t>
  </si>
  <si>
    <t>AKL</t>
  </si>
  <si>
    <t>OFXMX3NZ</t>
  </si>
  <si>
    <t>QFXMX6NZ</t>
  </si>
  <si>
    <t>NFXMX6NZ</t>
  </si>
  <si>
    <t>SFXMXRNZ</t>
  </si>
  <si>
    <t>VFXMXRNZ</t>
  </si>
  <si>
    <t>LFXMXRNZ</t>
  </si>
  <si>
    <t>MFXMXRNZ</t>
  </si>
  <si>
    <t>KFXMXRNZ</t>
  </si>
  <si>
    <t>HFXMXRNZ</t>
  </si>
  <si>
    <t>BFXMXRNZ</t>
  </si>
  <si>
    <t>O/Q/N - NZD 50</t>
  </si>
  <si>
    <t>O/Q/N - NZD 150 per ticket.</t>
  </si>
  <si>
    <t>RBDs O &amp; Q - NZD 50 per ticket</t>
  </si>
  <si>
    <t>RBD B</t>
  </si>
  <si>
    <t>GROSS MIXED SELLING FARES NZD</t>
  </si>
  <si>
    <t>MH SPA PAYOUT USD RT (ECONOMY)</t>
  </si>
  <si>
    <t>WY GROSS RETENTION USD (MIXED)</t>
  </si>
  <si>
    <t>GROSS MIXED SELLING FARES USD (ROE 0.59)</t>
  </si>
  <si>
    <t>Mixed Cabin Ave Retention USD (GROSS)</t>
  </si>
  <si>
    <t>Business Class Ave Retention USD (NET)</t>
  </si>
  <si>
    <t xml:space="preserve">Ave </t>
  </si>
  <si>
    <t xml:space="preserve">Economy - NZD 120 per direction. </t>
  </si>
  <si>
    <t xml:space="preserve">Economy - NZD 175 per direction. </t>
  </si>
  <si>
    <t xml:space="preserve">Economy - NZD 200 per direction. </t>
  </si>
  <si>
    <t xml:space="preserve">Economy - NZD 150 per direction. </t>
  </si>
  <si>
    <t>Routings (SPA)</t>
  </si>
  <si>
    <t>Routings (Codeshare)</t>
  </si>
  <si>
    <t>AKL ---- QF Prime ---- ADL/BNE/MEL/PER/SYD ---- QF Prime ---- BKK/HKT/JKT/MNL ---- MH Prime ---- KUL ----  WY Prime ---- MCT ---- WY Prime ---- XXX</t>
  </si>
  <si>
    <t>AKL ---- QF Prime ---- ADL/BNE/MEL/PER/SYD ---- QF Prime ---- DPS/SIN ---- MH Prime ---- KUL ---- WY Prime ---- MCT ---- WY Prime ---- XXX</t>
  </si>
  <si>
    <t>AKL ---- QF Prime ---- MEL ---- AY Prime ---- BKK ---- WY Prime ---- MCT ---- WY Prime ---- XXX</t>
  </si>
  <si>
    <t>AKL ---- QF Prime ---- MEL/SYD ---- QF Prime ---- BLR/DEL ---- WY Prime ---- MCT ---- WY Prime ---- XXX</t>
  </si>
  <si>
    <t xml:space="preserve">AKL ---- CX Prime ---- HKG ---- CX Prime ---- BKK/HKT/JKT/KUL/MNL/SIN ---- WY Prime ---- MCT ---- WY Prime ---- XXX      </t>
  </si>
  <si>
    <t>FOC</t>
  </si>
  <si>
    <t>WY Prime RBDs</t>
  </si>
  <si>
    <t>AKL ---- QF Prime ---- ADL/BNE/MEL/PER/SYD ---- QF Prime ---- BKK/HKT/JKT/KUL/MNL/SIN ---- WY Prime ---- MCT ---- WY Prime ---- XXX</t>
  </si>
  <si>
    <r>
      <t xml:space="preserve">AKL ---- QF Prime ---- ADL/BNE/MEL/PER/SYD ---- QF Prime ---- DPS/JKT/SIN ---- </t>
    </r>
    <r>
      <rPr>
        <b/>
        <sz val="11"/>
        <color rgb="FF0000CC"/>
        <rFont val="Aptos Narrow"/>
        <family val="2"/>
        <scheme val="minor"/>
      </rPr>
      <t>TG Prime</t>
    </r>
    <r>
      <rPr>
        <b/>
        <sz val="11"/>
        <color theme="1"/>
        <rFont val="Aptos Narrow"/>
        <family val="2"/>
        <scheme val="minor"/>
      </rPr>
      <t xml:space="preserve"> ---- BKK ---- WY Prime ---- MCT ---- WY Prime ---- XXX</t>
    </r>
  </si>
  <si>
    <t>P/I</t>
  </si>
  <si>
    <t>P/I/D</t>
  </si>
  <si>
    <t>P/I/D/C</t>
  </si>
  <si>
    <t>Chart 1 (When NZ - AU &amp; NZ - FE is on Chart 2)</t>
  </si>
  <si>
    <t>Surcharges per Direction in NZD (on WY portion)</t>
  </si>
  <si>
    <t>Through Base Fare Calculation (Actual Structural Base Fare + Surcharge x 2)</t>
  </si>
  <si>
    <t>Avg.</t>
  </si>
  <si>
    <t>WY CURRENT NET RETN USD (FULL BUSINESS as per STRUCTURAL FARES)</t>
  </si>
  <si>
    <t>x2</t>
  </si>
  <si>
    <t xml:space="preserve">AKL ---- CX Prime ---- HKG ---- MH Prime ---- KUL ---- WY Prime ---- MCT ---- WY Prime ---- XXX </t>
  </si>
  <si>
    <t>TG PAYOUT : SYD/MEL/PER - BKK</t>
  </si>
  <si>
    <t>TG PAYOUT : SIN - BKK</t>
  </si>
  <si>
    <t>TG SIN Mapping</t>
  </si>
  <si>
    <t>TG DPS/JKT Mapping</t>
  </si>
  <si>
    <t>TG (Highest Payout) PAYOUT : JKTDPS - BKK</t>
  </si>
  <si>
    <t>x2 (DPS Payout)</t>
  </si>
  <si>
    <t>TG AU Mapping</t>
  </si>
  <si>
    <r>
      <t xml:space="preserve">Routing : NZ ---- QF ---- AU ---- QF ---- </t>
    </r>
    <r>
      <rPr>
        <b/>
        <sz val="11"/>
        <color rgb="FF0000CC"/>
        <rFont val="Calibri"/>
        <family val="2"/>
      </rPr>
      <t>DPS/JKT/SIN ---- TG ---- BKK</t>
    </r>
    <r>
      <rPr>
        <b/>
        <sz val="11"/>
        <color theme="1"/>
        <rFont val="Calibri"/>
        <family val="2"/>
      </rPr>
      <t xml:space="preserve"> ---- WY ---- MCT ---- WY ---- XXX</t>
    </r>
  </si>
  <si>
    <r>
      <t xml:space="preserve">Routing : NZ ---- QF ---- </t>
    </r>
    <r>
      <rPr>
        <b/>
        <sz val="11"/>
        <color rgb="FF0000CC"/>
        <rFont val="Calibri"/>
        <family val="2"/>
      </rPr>
      <t>AU ---- TG ---- BKK</t>
    </r>
    <r>
      <rPr>
        <b/>
        <sz val="11"/>
        <color theme="1"/>
        <rFont val="Calibri"/>
        <family val="2"/>
      </rPr>
      <t xml:space="preserve"> ---- WY ---- MCT ---- WY ---- XXX</t>
    </r>
  </si>
  <si>
    <t>AKL ---- QF Prime ---- MEL/PER/SYD ---- TG Prime ---- BKK ---- WY Prime ---- MCT ---- WY Prime ---- XXX</t>
  </si>
  <si>
    <r>
      <rPr>
        <b/>
        <sz val="11"/>
        <color rgb="FF0000CC"/>
        <rFont val="Aptos Narrow"/>
        <family val="2"/>
        <scheme val="minor"/>
      </rPr>
      <t>AKL ---- MH Prime ---- KUL</t>
    </r>
    <r>
      <rPr>
        <b/>
        <sz val="11"/>
        <color theme="1"/>
        <rFont val="Aptos Narrow"/>
        <family val="2"/>
        <scheme val="minor"/>
      </rPr>
      <t xml:space="preserve"> ---- WY Prime ---- MCT ---- WY Prime ---- XXX</t>
    </r>
  </si>
  <si>
    <r>
      <t xml:space="preserve">AKL ---- QF Prime ---- </t>
    </r>
    <r>
      <rPr>
        <b/>
        <sz val="11"/>
        <color rgb="FF0000CC"/>
        <rFont val="Aptos Narrow"/>
        <family val="2"/>
        <scheme val="minor"/>
      </rPr>
      <t>ADL/BNE/MEL/PER/SYD ---- MH Prime ---- KUL</t>
    </r>
    <r>
      <rPr>
        <b/>
        <sz val="11"/>
        <color theme="1"/>
        <rFont val="Aptos Narrow"/>
        <family val="2"/>
        <scheme val="minor"/>
      </rPr>
      <t xml:space="preserve"> ---- WY Prime ---- MCT ---- WY Prime ---- XXX</t>
    </r>
  </si>
  <si>
    <t>AKL ---- MH CS ---- KUL ---- WY Prime ---- MCT ---- WY Prime ---- XXX</t>
  </si>
  <si>
    <t>Chart 1 (To override CS Mapping of Biz)</t>
  </si>
  <si>
    <t>Chart 1 (When NZ - AU &amp; NZ - KUL is on Chart 2)</t>
  </si>
  <si>
    <t>O/Q</t>
  </si>
  <si>
    <t>O/Q/N</t>
  </si>
  <si>
    <t>O/Q/N/S</t>
  </si>
  <si>
    <t>O/Q/N/S/V</t>
  </si>
  <si>
    <t>O/Q/N/S/V/L</t>
  </si>
  <si>
    <t>O/Q/N/S/V/L/M</t>
  </si>
  <si>
    <t>O/Q/N/S/V/L/M/K</t>
  </si>
  <si>
    <t>O/Q/N/S/V/L/M/K/H</t>
  </si>
  <si>
    <t>CAI/AMM/IST/TZX/
MOW/DAR/ZNZ/BGW/AER</t>
  </si>
  <si>
    <t>As per table below</t>
  </si>
  <si>
    <t>When travel is between DPS/SIN/JKT &amp; BKK</t>
  </si>
  <si>
    <t xml:space="preserve">KUL - AKL &amp; v.v.
</t>
  </si>
  <si>
    <t>Between BKK &amp; DPS/JKT</t>
  </si>
  <si>
    <t>Between BKK &amp; SIN</t>
  </si>
  <si>
    <t>Between BKK &amp; KUL</t>
  </si>
  <si>
    <t xml:space="preserve">Economy - As per table below. </t>
  </si>
  <si>
    <t>NZD 150</t>
  </si>
  <si>
    <t>NZD 75</t>
  </si>
  <si>
    <t>QF (Economy)</t>
  </si>
  <si>
    <t>MH Codeshare (Economy)</t>
  </si>
  <si>
    <t>MH Prime (Economy)</t>
  </si>
  <si>
    <t>CX (Economy)</t>
  </si>
  <si>
    <t>AY MEL-BKK (Economy)</t>
  </si>
  <si>
    <t>WY (Business Class)</t>
  </si>
  <si>
    <t>TG AU&lt;&gt;BKK, BKK&lt;&gt;KUL/DPS/SIN/JKT (Economy)</t>
  </si>
  <si>
    <t>Classs Mappings</t>
  </si>
  <si>
    <t>Fare Basis Sets (Mixed Comfort CM)</t>
  </si>
  <si>
    <t>NZD 200</t>
  </si>
  <si>
    <t>NZD 400</t>
  </si>
  <si>
    <t>NZ ---- CX Prime ---- HKG ---- CX Prime ---- MNL/JKT/BKK/HKT/KUL/SIN ---- WY Prime ---- MCT ---- WY Prime ---- XXX</t>
  </si>
  <si>
    <t>NZ ---- CX Prime ---- HKG ---- MH Prime ---- KUL ---- WY Prime ---- MCT ---- WY Prime ---- XXX</t>
  </si>
  <si>
    <t>AKL/WLG/CHC/ZQN ---- QF Prime  ---- SYD/MEL/ADL/BNE/PER ---- QF Prime ---- MNL/JKT/BKK/HKT/KUL/SIN ---- WY Prime ---- MCT ---- WY Prime ---- XXX</t>
  </si>
  <si>
    <t>AKL/WLG/CHC/ZQN ---- QF Prime  ---- SYD/MEL/ADL/BNE/PER ---- MH Prime ---- KUL ---- WY Prime ---- MCT ---- WY Prime ---- XXX</t>
  </si>
  <si>
    <t>AKL/WLG/CHC/ZQN ---- QF Prime ---- SYD/MEL/ADL/BNE/PER ---- QF Prime ---- MNL/JKT/BKK/HKT ---- MH Prime ---- KUL ---- WY Prime ---- MCT ---- WY Prime ---- XXX</t>
  </si>
  <si>
    <t>AKL/WLG/CHC/ZQN ---- QF Prime ---- SYD/MEL/ADL/BNE/PER ---- QF Prime ---- DPS/SIN ---- MH Prime ---- KUL ---- WY Prime ---- MCT ---- WY Prime ---- XXX</t>
  </si>
  <si>
    <t>AKL/WLG/CHC/ZQN ---- QF Prime ---- SYD/MEL/BNE/ADL/PER ---- QF Prime ---- DPS/SIN/JKT ---- TG Prime ---- BKK ---- WY Prime ---- MCT ---- WY Prime ---- 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</si>
</sst>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Aptos Narrow"/>
      <family val="2"/>
      <scheme val="minor"/>
    </font>
    <font>
      <b/>
      <i/>
      <sz val="11"/>
      <color theme="1"/>
      <name val="Calibri"/>
      <family val="2"/>
    </font>
    <font>
      <b/>
      <i/>
      <sz val="14"/>
      <color theme="1"/>
      <name val="Calibri"/>
      <family val="2"/>
    </font>
    <font>
      <b/>
      <i/>
      <sz val="15"/>
      <color theme="1"/>
      <name val="Calibri"/>
      <family val="2"/>
    </font>
    <font>
      <b/>
      <sz val="11"/>
      <color rgb="FF000000"/>
      <name val="Calibri"/>
      <family val="2"/>
    </font>
    <font>
      <b/>
      <sz val="14"/>
      <color theme="1"/>
      <name val="Calibri"/>
      <family val="2"/>
    </font>
    <font>
      <b/>
      <i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b/>
      <sz val="11"/>
      <color rgb="FF0000CC"/>
      <name val="Aptos Narrow"/>
      <family val="2"/>
      <scheme val="minor"/>
    </font>
    <font>
      <b/>
      <sz val="11"/>
      <color rgb="FF0000CC"/>
      <name val="Calibri"/>
      <family val="2"/>
    </font>
    <font>
      <b/>
      <strike/>
      <sz val="11"/>
      <color rgb="FFFF0000"/>
      <name val="Aptos Narrow"/>
      <family val="2"/>
      <scheme val="minor"/>
    </font>
    <font>
      <b/>
      <sz val="12"/>
      <color theme="1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00B0F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3">
    <xf numFmtId="0" fontId="0" fillId="0" borderId="0" xfId="0"/>
    <xf numFmtId="0" fontId="0" fillId="3" borderId="10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2" fillId="7" borderId="32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0" borderId="20" xfId="0" applyNumberFormat="1" applyBorder="1" applyAlignment="1">
      <alignment horizontal="center"/>
    </xf>
    <xf numFmtId="1" fontId="0" fillId="0" borderId="26" xfId="0" applyNumberFormat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7" borderId="2" xfId="0" applyFont="1" applyFill="1" applyBorder="1" applyAlignment="1">
      <alignment horizontal="center"/>
    </xf>
    <xf numFmtId="0" fontId="4" fillId="7" borderId="34" xfId="0" applyFont="1" applyFill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3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50" xfId="0" applyFont="1" applyFill="1" applyBorder="1" applyAlignment="1">
      <alignment horizontal="center"/>
    </xf>
    <xf numFmtId="0" fontId="4" fillId="2" borderId="51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2" borderId="52" xfId="0" applyFont="1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2" borderId="12" xfId="0" applyFill="1" applyBorder="1" applyAlignment="1">
      <alignment horizontal="center"/>
    </xf>
    <xf numFmtId="0" fontId="0" fillId="12" borderId="28" xfId="0" applyFill="1" applyBorder="1" applyAlignment="1">
      <alignment horizontal="center"/>
    </xf>
    <xf numFmtId="0" fontId="2" fillId="12" borderId="9" xfId="0" applyFont="1" applyFill="1" applyBorder="1" applyAlignment="1">
      <alignment horizontal="center"/>
    </xf>
    <xf numFmtId="0" fontId="0" fillId="12" borderId="10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0" fillId="12" borderId="18" xfId="0" applyFill="1" applyBorder="1" applyAlignment="1">
      <alignment horizontal="center"/>
    </xf>
    <xf numFmtId="0" fontId="0" fillId="12" borderId="21" xfId="0" applyFill="1" applyBorder="1" applyAlignment="1">
      <alignment horizontal="center"/>
    </xf>
    <xf numFmtId="0" fontId="0" fillId="12" borderId="29" xfId="0" applyFill="1" applyBorder="1" applyAlignment="1">
      <alignment horizontal="center"/>
    </xf>
    <xf numFmtId="0" fontId="2" fillId="12" borderId="18" xfId="0" applyFont="1" applyFill="1" applyBorder="1" applyAlignment="1">
      <alignment horizontal="center"/>
    </xf>
    <xf numFmtId="0" fontId="0" fillId="12" borderId="19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46" xfId="0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3" fillId="0" borderId="7" xfId="0" applyFont="1" applyBorder="1"/>
    <xf numFmtId="0" fontId="3" fillId="0" borderId="2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57" xfId="0" applyFont="1" applyBorder="1"/>
    <xf numFmtId="0" fontId="3" fillId="0" borderId="37" xfId="0" applyFont="1" applyBorder="1"/>
    <xf numFmtId="0" fontId="3" fillId="0" borderId="58" xfId="0" applyFont="1" applyBorder="1"/>
    <xf numFmtId="0" fontId="0" fillId="4" borderId="0" xfId="0" applyFill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36" xfId="0" applyFont="1" applyBorder="1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4" borderId="0" xfId="0" applyFont="1" applyFill="1"/>
    <xf numFmtId="0" fontId="2" fillId="0" borderId="0" xfId="0" applyFont="1" applyAlignment="1">
      <alignment horizontal="left"/>
    </xf>
    <xf numFmtId="0" fontId="2" fillId="0" borderId="0" xfId="0" applyFont="1"/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7" fillId="10" borderId="21" xfId="0" applyFont="1" applyFill="1" applyBorder="1" applyAlignment="1">
      <alignment horizontal="center" vertical="center"/>
    </xf>
    <xf numFmtId="0" fontId="2" fillId="0" borderId="57" xfId="0" applyFont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0" fillId="12" borderId="24" xfId="0" applyFill="1" applyBorder="1" applyAlignment="1">
      <alignment horizontal="center"/>
    </xf>
    <xf numFmtId="0" fontId="0" fillId="12" borderId="27" xfId="0" applyFill="1" applyBorder="1" applyAlignment="1">
      <alignment horizontal="center"/>
    </xf>
    <xf numFmtId="0" fontId="0" fillId="12" borderId="30" xfId="0" applyFill="1" applyBorder="1" applyAlignment="1">
      <alignment horizontal="center"/>
    </xf>
    <xf numFmtId="0" fontId="2" fillId="12" borderId="24" xfId="0" applyFont="1" applyFill="1" applyBorder="1" applyAlignment="1">
      <alignment horizontal="center"/>
    </xf>
    <xf numFmtId="0" fontId="0" fillId="12" borderId="25" xfId="0" applyFill="1" applyBorder="1" applyAlignment="1">
      <alignment horizontal="center"/>
    </xf>
    <xf numFmtId="0" fontId="0" fillId="8" borderId="0" xfId="0" applyFill="1" applyAlignment="1">
      <alignment horizontal="center"/>
    </xf>
    <xf numFmtId="1" fontId="0" fillId="0" borderId="21" xfId="0" applyNumberFormat="1" applyBorder="1" applyAlignment="1">
      <alignment horizontal="center"/>
    </xf>
    <xf numFmtId="1" fontId="2" fillId="0" borderId="32" xfId="0" applyNumberFormat="1" applyFont="1" applyBorder="1" applyAlignment="1">
      <alignment horizontal="center"/>
    </xf>
    <xf numFmtId="1" fontId="2" fillId="16" borderId="21" xfId="0" applyNumberFormat="1" applyFont="1" applyFill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11" fillId="11" borderId="21" xfId="0" applyFont="1" applyFill="1" applyBorder="1" applyAlignment="1">
      <alignment horizontal="center" vertical="center"/>
    </xf>
    <xf numFmtId="1" fontId="2" fillId="0" borderId="16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0" fillId="0" borderId="42" xfId="0" applyNumberFormat="1" applyBorder="1" applyAlignment="1">
      <alignment horizontal="center"/>
    </xf>
    <xf numFmtId="1" fontId="0" fillId="0" borderId="43" xfId="0" applyNumberFormat="1" applyBorder="1" applyAlignment="1">
      <alignment horizontal="center"/>
    </xf>
    <xf numFmtId="1" fontId="0" fillId="0" borderId="44" xfId="0" applyNumberFormat="1" applyBorder="1" applyAlignment="1">
      <alignment horizontal="center"/>
    </xf>
    <xf numFmtId="0" fontId="7" fillId="18" borderId="3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7" fillId="18" borderId="5" xfId="0" applyFont="1" applyFill="1" applyBorder="1" applyAlignment="1">
      <alignment horizontal="center" vertical="center"/>
    </xf>
    <xf numFmtId="0" fontId="7" fillId="18" borderId="1" xfId="0" applyFont="1" applyFill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54" xfId="0" applyNumberFormat="1" applyFont="1" applyBorder="1" applyAlignment="1">
      <alignment horizontal="center"/>
    </xf>
    <xf numFmtId="1" fontId="2" fillId="0" borderId="43" xfId="0" applyNumberFormat="1" applyFont="1" applyBorder="1" applyAlignment="1">
      <alignment horizontal="center"/>
    </xf>
    <xf numFmtId="1" fontId="2" fillId="0" borderId="4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0" fontId="7" fillId="5" borderId="5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7" fillId="12" borderId="32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2" fillId="0" borderId="58" xfId="0" applyFont="1" applyBorder="1" applyAlignment="1">
      <alignment horizontal="center"/>
    </xf>
    <xf numFmtId="1" fontId="2" fillId="0" borderId="66" xfId="0" applyNumberFormat="1" applyFont="1" applyBorder="1" applyAlignment="1">
      <alignment horizontal="center"/>
    </xf>
    <xf numFmtId="1" fontId="2" fillId="0" borderId="49" xfId="0" applyNumberFormat="1" applyFont="1" applyBorder="1" applyAlignment="1">
      <alignment horizontal="center"/>
    </xf>
    <xf numFmtId="0" fontId="7" fillId="11" borderId="12" xfId="0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center" vertical="center"/>
    </xf>
    <xf numFmtId="0" fontId="10" fillId="11" borderId="63" xfId="0" applyFont="1" applyFill="1" applyBorder="1" applyAlignment="1">
      <alignment horizontal="center" vertical="center"/>
    </xf>
    <xf numFmtId="0" fontId="10" fillId="11" borderId="64" xfId="0" applyFont="1" applyFill="1" applyBorder="1" applyAlignment="1">
      <alignment horizontal="center" vertical="center"/>
    </xf>
    <xf numFmtId="0" fontId="10" fillId="11" borderId="59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0" fillId="11" borderId="56" xfId="0" applyFont="1" applyFill="1" applyBorder="1" applyAlignment="1">
      <alignment horizontal="center" vertical="center"/>
    </xf>
    <xf numFmtId="0" fontId="10" fillId="11" borderId="11" xfId="0" applyFont="1" applyFill="1" applyBorder="1" applyAlignment="1">
      <alignment horizontal="center" vertical="center"/>
    </xf>
    <xf numFmtId="0" fontId="10" fillId="11" borderId="12" xfId="0" applyFont="1" applyFill="1" applyBorder="1" applyAlignment="1">
      <alignment horizontal="center" vertical="center"/>
    </xf>
    <xf numFmtId="0" fontId="10" fillId="11" borderId="10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/>
    </xf>
    <xf numFmtId="1" fontId="2" fillId="17" borderId="17" xfId="0" applyNumberFormat="1" applyFont="1" applyFill="1" applyBorder="1" applyAlignment="1">
      <alignment horizontal="center"/>
    </xf>
    <xf numFmtId="1" fontId="2" fillId="17" borderId="15" xfId="0" applyNumberFormat="1" applyFont="1" applyFill="1" applyBorder="1" applyAlignment="1">
      <alignment horizontal="center"/>
    </xf>
    <xf numFmtId="1" fontId="2" fillId="17" borderId="21" xfId="0" applyNumberFormat="1" applyFont="1" applyFill="1" applyBorder="1" applyAlignment="1">
      <alignment horizontal="center"/>
    </xf>
    <xf numFmtId="1" fontId="2" fillId="17" borderId="19" xfId="0" applyNumberFormat="1" applyFont="1" applyFill="1" applyBorder="1" applyAlignment="1">
      <alignment horizontal="center"/>
    </xf>
    <xf numFmtId="1" fontId="2" fillId="17" borderId="49" xfId="0" applyNumberFormat="1" applyFont="1" applyFill="1" applyBorder="1" applyAlignment="1">
      <alignment horizontal="center"/>
    </xf>
    <xf numFmtId="1" fontId="2" fillId="17" borderId="65" xfId="0" applyNumberFormat="1" applyFont="1" applyFill="1" applyBorder="1" applyAlignment="1">
      <alignment horizontal="center"/>
    </xf>
    <xf numFmtId="0" fontId="0" fillId="0" borderId="57" xfId="0" applyBorder="1" applyAlignment="1">
      <alignment horizontal="center"/>
    </xf>
    <xf numFmtId="1" fontId="2" fillId="3" borderId="16" xfId="0" applyNumberFormat="1" applyFont="1" applyFill="1" applyBorder="1" applyAlignment="1">
      <alignment horizontal="center"/>
    </xf>
    <xf numFmtId="1" fontId="2" fillId="3" borderId="17" xfId="0" applyNumberFormat="1" applyFont="1" applyFill="1" applyBorder="1" applyAlignment="1">
      <alignment horizontal="center"/>
    </xf>
    <xf numFmtId="1" fontId="2" fillId="3" borderId="15" xfId="0" applyNumberFormat="1" applyFont="1" applyFill="1" applyBorder="1" applyAlignment="1">
      <alignment horizontal="center"/>
    </xf>
    <xf numFmtId="1" fontId="2" fillId="3" borderId="20" xfId="0" applyNumberFormat="1" applyFont="1" applyFill="1" applyBorder="1" applyAlignment="1">
      <alignment horizontal="center"/>
    </xf>
    <xf numFmtId="1" fontId="2" fillId="3" borderId="2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1" fontId="2" fillId="3" borderId="26" xfId="0" applyNumberFormat="1" applyFont="1" applyFill="1" applyBorder="1" applyAlignment="1">
      <alignment horizontal="center"/>
    </xf>
    <xf numFmtId="1" fontId="2" fillId="3" borderId="27" xfId="0" applyNumberFormat="1" applyFont="1" applyFill="1" applyBorder="1" applyAlignment="1">
      <alignment horizontal="center"/>
    </xf>
    <xf numFmtId="1" fontId="2" fillId="3" borderId="25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1" fontId="2" fillId="3" borderId="54" xfId="0" applyNumberFormat="1" applyFont="1" applyFill="1" applyBorder="1" applyAlignment="1">
      <alignment horizontal="center"/>
    </xf>
    <xf numFmtId="1" fontId="2" fillId="3" borderId="42" xfId="0" applyNumberFormat="1" applyFont="1" applyFill="1" applyBorder="1" applyAlignment="1">
      <alignment horizontal="center"/>
    </xf>
    <xf numFmtId="1" fontId="2" fillId="3" borderId="67" xfId="0" applyNumberFormat="1" applyFont="1" applyFill="1" applyBorder="1" applyAlignment="1">
      <alignment horizontal="center"/>
    </xf>
    <xf numFmtId="1" fontId="2" fillId="3" borderId="48" xfId="0" applyNumberFormat="1" applyFont="1" applyFill="1" applyBorder="1" applyAlignment="1">
      <alignment horizontal="center"/>
    </xf>
    <xf numFmtId="1" fontId="2" fillId="3" borderId="63" xfId="0" applyNumberFormat="1" applyFont="1" applyFill="1" applyBorder="1" applyAlignment="1">
      <alignment horizontal="center"/>
    </xf>
    <xf numFmtId="1" fontId="2" fillId="3" borderId="46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/>
    </xf>
    <xf numFmtId="0" fontId="7" fillId="0" borderId="23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60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0" fontId="7" fillId="2" borderId="21" xfId="0" applyFont="1" applyFill="1" applyBorder="1" applyAlignment="1">
      <alignment horizontal="center" vertical="center"/>
    </xf>
    <xf numFmtId="0" fontId="7" fillId="9" borderId="21" xfId="0" applyFont="1" applyFill="1" applyBorder="1" applyAlignment="1">
      <alignment horizontal="center" vertical="center" wrapText="1"/>
    </xf>
    <xf numFmtId="0" fontId="7" fillId="11" borderId="21" xfId="0" applyFont="1" applyFill="1" applyBorder="1" applyAlignment="1">
      <alignment horizontal="center" vertical="center"/>
    </xf>
    <xf numFmtId="0" fontId="2" fillId="11" borderId="21" xfId="0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1" fillId="19" borderId="2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/>
    </xf>
    <xf numFmtId="0" fontId="3" fillId="6" borderId="34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3" fillId="6" borderId="33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8" fillId="14" borderId="2" xfId="0" applyFont="1" applyFill="1" applyBorder="1" applyAlignment="1">
      <alignment horizontal="center"/>
    </xf>
    <xf numFmtId="0" fontId="8" fillId="14" borderId="33" xfId="0" applyFont="1" applyFill="1" applyBorder="1" applyAlignment="1">
      <alignment horizontal="center"/>
    </xf>
    <xf numFmtId="0" fontId="8" fillId="14" borderId="34" xfId="0" applyFont="1" applyFill="1" applyBorder="1" applyAlignment="1">
      <alignment horizontal="center"/>
    </xf>
    <xf numFmtId="0" fontId="2" fillId="11" borderId="18" xfId="0" applyFont="1" applyFill="1" applyBorder="1" applyAlignment="1">
      <alignment horizontal="center"/>
    </xf>
    <xf numFmtId="0" fontId="2" fillId="11" borderId="19" xfId="0" applyFont="1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13" borderId="18" xfId="0" applyFill="1" applyBorder="1" applyAlignment="1">
      <alignment horizontal="center"/>
    </xf>
    <xf numFmtId="0" fontId="0" fillId="13" borderId="21" xfId="0" applyFill="1" applyBorder="1" applyAlignment="1">
      <alignment horizontal="center"/>
    </xf>
    <xf numFmtId="0" fontId="0" fillId="13" borderId="19" xfId="0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0" fillId="5" borderId="26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0" fillId="13" borderId="24" xfId="0" applyFill="1" applyBorder="1" applyAlignment="1">
      <alignment horizontal="center"/>
    </xf>
    <xf numFmtId="0" fontId="0" fillId="13" borderId="27" xfId="0" applyFill="1" applyBorder="1" applyAlignment="1">
      <alignment horizontal="center"/>
    </xf>
    <xf numFmtId="0" fontId="0" fillId="13" borderId="25" xfId="0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2" xfId="0" applyFill="1" applyBorder="1" applyAlignment="1">
      <alignment horizontal="center"/>
    </xf>
    <xf numFmtId="0" fontId="0" fillId="13" borderId="10" xfId="0" applyFill="1" applyBorder="1" applyAlignment="1">
      <alignment horizontal="center"/>
    </xf>
    <xf numFmtId="0" fontId="0" fillId="3" borderId="9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12" borderId="9" xfId="0" applyFill="1" applyBorder="1" applyAlignment="1">
      <alignment horizontal="center" vertical="center"/>
    </xf>
    <xf numFmtId="0" fontId="0" fillId="12" borderId="18" xfId="0" applyFill="1" applyBorder="1" applyAlignment="1">
      <alignment horizontal="center" vertical="center"/>
    </xf>
    <xf numFmtId="0" fontId="0" fillId="12" borderId="24" xfId="0" applyFill="1" applyBorder="1" applyAlignment="1">
      <alignment horizontal="center" vertical="center"/>
    </xf>
    <xf numFmtId="0" fontId="0" fillId="12" borderId="10" xfId="0" applyFill="1" applyBorder="1" applyAlignment="1">
      <alignment horizontal="center" vertical="center" wrapText="1"/>
    </xf>
    <xf numFmtId="0" fontId="0" fillId="12" borderId="19" xfId="0" applyFill="1" applyBorder="1" applyAlignment="1">
      <alignment horizontal="center" vertical="center" wrapText="1"/>
    </xf>
    <xf numFmtId="0" fontId="0" fillId="12" borderId="25" xfId="0" applyFill="1" applyBorder="1" applyAlignment="1">
      <alignment horizontal="center" vertical="center" wrapText="1"/>
    </xf>
    <xf numFmtId="0" fontId="2" fillId="0" borderId="53" xfId="0" applyFont="1" applyBorder="1" applyAlignment="1">
      <alignment horizontal="center"/>
    </xf>
    <xf numFmtId="0" fontId="2" fillId="0" borderId="54" xfId="0" applyFont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2" fillId="0" borderId="55" xfId="0" applyFont="1" applyBorder="1" applyAlignment="1">
      <alignment horizontal="center"/>
    </xf>
    <xf numFmtId="0" fontId="0" fillId="3" borderId="10" xfId="0" applyFill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0" fillId="12" borderId="28" xfId="0" applyFill="1" applyBorder="1" applyAlignment="1">
      <alignment horizontal="center" vertical="center"/>
    </xf>
    <xf numFmtId="0" fontId="0" fillId="12" borderId="29" xfId="0" applyFill="1" applyBorder="1" applyAlignment="1">
      <alignment horizontal="center" vertical="center"/>
    </xf>
    <xf numFmtId="0" fontId="0" fillId="12" borderId="30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2" fillId="3" borderId="61" xfId="0" applyFont="1" applyFill="1" applyBorder="1" applyAlignment="1">
      <alignment horizontal="center"/>
    </xf>
    <xf numFmtId="0" fontId="2" fillId="3" borderId="60" xfId="0" applyFont="1" applyFill="1" applyBorder="1" applyAlignment="1">
      <alignment horizontal="center"/>
    </xf>
    <xf numFmtId="0" fontId="2" fillId="3" borderId="6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4" fillId="5" borderId="23" xfId="0" applyFont="1" applyFill="1" applyBorder="1" applyAlignment="1">
      <alignment horizontal="left"/>
    </xf>
    <xf numFmtId="0" fontId="14" fillId="5" borderId="47" xfId="0" applyFont="1" applyFill="1" applyBorder="1" applyAlignment="1">
      <alignment horizontal="left"/>
    </xf>
    <xf numFmtId="0" fontId="14" fillId="5" borderId="48" xfId="0" applyFont="1" applyFill="1" applyBorder="1" applyAlignment="1">
      <alignment horizontal="left"/>
    </xf>
    <xf numFmtId="0" fontId="14" fillId="5" borderId="2" xfId="0" applyFont="1" applyFill="1" applyBorder="1" applyAlignment="1">
      <alignment horizontal="center"/>
    </xf>
    <xf numFmtId="0" fontId="14" fillId="5" borderId="33" xfId="0" applyFont="1" applyFill="1" applyBorder="1" applyAlignment="1">
      <alignment horizontal="center"/>
    </xf>
    <xf numFmtId="0" fontId="14" fillId="5" borderId="3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3" xfId="0" applyFont="1" applyFill="1" applyBorder="1" applyAlignment="1">
      <alignment horizontal="center"/>
    </xf>
    <xf numFmtId="0" fontId="6" fillId="2" borderId="34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5" fillId="3" borderId="3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2" fillId="2" borderId="3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3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3" xfId="0" applyFont="1" applyFill="1" applyBorder="1" applyAlignment="1">
      <alignment horizontal="center"/>
    </xf>
    <xf numFmtId="0" fontId="3" fillId="5" borderId="34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left" wrapText="1"/>
    </xf>
    <xf numFmtId="0" fontId="3" fillId="5" borderId="0" xfId="0" applyFont="1" applyFill="1" applyAlignment="1">
      <alignment horizontal="left"/>
    </xf>
    <xf numFmtId="0" fontId="3" fillId="5" borderId="46" xfId="0" applyFont="1" applyFill="1" applyBorder="1" applyAlignment="1">
      <alignment horizontal="left"/>
    </xf>
    <xf numFmtId="0" fontId="3" fillId="5" borderId="8" xfId="0" applyFont="1" applyFill="1" applyBorder="1" applyAlignment="1">
      <alignment horizontal="left"/>
    </xf>
    <xf numFmtId="0" fontId="3" fillId="5" borderId="38" xfId="0" applyFont="1" applyFill="1" applyBorder="1" applyAlignment="1">
      <alignment horizontal="left"/>
    </xf>
    <xf numFmtId="0" fontId="3" fillId="5" borderId="45" xfId="0" applyFont="1" applyFill="1" applyBorder="1" applyAlignment="1">
      <alignment horizontal="left"/>
    </xf>
    <xf numFmtId="0" fontId="3" fillId="5" borderId="14" xfId="0" applyFont="1" applyFill="1" applyBorder="1" applyAlignment="1">
      <alignment horizontal="left"/>
    </xf>
    <xf numFmtId="0" fontId="15" fillId="3" borderId="2" xfId="0" applyFont="1" applyFill="1" applyBorder="1" applyAlignment="1">
      <alignment horizontal="center"/>
    </xf>
    <xf numFmtId="0" fontId="15" fillId="3" borderId="34" xfId="0" applyFont="1" applyFill="1" applyBorder="1" applyAlignment="1">
      <alignment horizontal="center"/>
    </xf>
    <xf numFmtId="0" fontId="3" fillId="15" borderId="3" xfId="0" applyFont="1" applyFill="1" applyBorder="1" applyAlignment="1">
      <alignment horizontal="left"/>
    </xf>
    <xf numFmtId="0" fontId="3" fillId="15" borderId="32" xfId="0" applyFont="1" applyFill="1" applyBorder="1" applyAlignment="1">
      <alignment horizontal="left"/>
    </xf>
    <xf numFmtId="0" fontId="3" fillId="15" borderId="4" xfId="0" applyFont="1" applyFill="1" applyBorder="1" applyAlignment="1">
      <alignment horizontal="left"/>
    </xf>
    <xf numFmtId="0" fontId="3" fillId="15" borderId="24" xfId="0" applyFont="1" applyFill="1" applyBorder="1" applyAlignment="1">
      <alignment horizontal="left"/>
    </xf>
    <xf numFmtId="0" fontId="3" fillId="15" borderId="27" xfId="0" applyFont="1" applyFill="1" applyBorder="1" applyAlignment="1">
      <alignment horizontal="left"/>
    </xf>
    <xf numFmtId="0" fontId="3" fillId="15" borderId="25" xfId="0" applyFont="1" applyFill="1" applyBorder="1" applyAlignment="1">
      <alignment horizontal="left"/>
    </xf>
    <xf numFmtId="0" fontId="3" fillId="5" borderId="50" xfId="0" applyFont="1" applyFill="1" applyBorder="1" applyAlignment="1">
      <alignment horizontal="left"/>
    </xf>
    <xf numFmtId="0" fontId="3" fillId="5" borderId="51" xfId="0" applyFont="1" applyFill="1" applyBorder="1" applyAlignment="1">
      <alignment horizontal="left"/>
    </xf>
    <xf numFmtId="0" fontId="3" fillId="5" borderId="52" xfId="0" applyFont="1" applyFill="1" applyBorder="1" applyAlignment="1">
      <alignment horizontal="left"/>
    </xf>
    <xf numFmtId="0" fontId="3" fillId="15" borderId="2" xfId="0" applyFont="1" applyFill="1" applyBorder="1" applyAlignment="1">
      <alignment horizontal="left"/>
    </xf>
    <xf numFmtId="0" fontId="3" fillId="15" borderId="33" xfId="0" applyFont="1" applyFill="1" applyBorder="1" applyAlignment="1">
      <alignment horizontal="left"/>
    </xf>
    <xf numFmtId="0" fontId="3" fillId="15" borderId="34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3" fillId="5" borderId="33" xfId="0" applyFont="1" applyFill="1" applyBorder="1" applyAlignment="1">
      <alignment horizontal="left"/>
    </xf>
    <xf numFmtId="0" fontId="3" fillId="5" borderId="34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center"/>
    </xf>
    <xf numFmtId="0" fontId="3" fillId="3" borderId="32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3" fillId="15" borderId="9" xfId="0" applyFont="1" applyFill="1" applyBorder="1" applyAlignment="1">
      <alignment horizontal="left"/>
    </xf>
    <xf numFmtId="0" fontId="3" fillId="15" borderId="12" xfId="0" applyFont="1" applyFill="1" applyBorder="1" applyAlignment="1">
      <alignment horizontal="left"/>
    </xf>
    <xf numFmtId="0" fontId="3" fillId="15" borderId="10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5" borderId="32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3" fillId="7" borderId="2" xfId="0" applyFont="1" applyFill="1" applyBorder="1" applyAlignment="1">
      <alignment horizontal="left"/>
    </xf>
    <xf numFmtId="0" fontId="3" fillId="7" borderId="33" xfId="0" applyFont="1" applyFill="1" applyBorder="1" applyAlignment="1">
      <alignment horizontal="left"/>
    </xf>
    <xf numFmtId="0" fontId="3" fillId="7" borderId="5" xfId="0" applyFont="1" applyFill="1" applyBorder="1" applyAlignment="1">
      <alignment horizontal="left"/>
    </xf>
    <xf numFmtId="0" fontId="3" fillId="7" borderId="34" xfId="0" applyFont="1" applyFill="1" applyBorder="1" applyAlignment="1">
      <alignment horizontal="left"/>
    </xf>
    <xf numFmtId="0" fontId="3" fillId="7" borderId="53" xfId="0" applyFont="1" applyFill="1" applyBorder="1" applyAlignment="1">
      <alignment horizontal="left"/>
    </xf>
    <xf numFmtId="0" fontId="3" fillId="7" borderId="55" xfId="0" applyFont="1" applyFill="1" applyBorder="1" applyAlignment="1">
      <alignment horizontal="left"/>
    </xf>
    <xf numFmtId="0" fontId="3" fillId="7" borderId="54" xfId="0" applyFont="1" applyFill="1" applyBorder="1" applyAlignment="1">
      <alignment horizontal="left"/>
    </xf>
    <xf numFmtId="0" fontId="3" fillId="7" borderId="41" xfId="0" applyFont="1" applyFill="1" applyBorder="1" applyAlignment="1">
      <alignment horizontal="left"/>
    </xf>
    <xf numFmtId="0" fontId="3" fillId="7" borderId="68" xfId="0" applyFont="1" applyFill="1" applyBorder="1" applyAlignment="1">
      <alignment horizontal="left"/>
    </xf>
    <xf numFmtId="0" fontId="3" fillId="7" borderId="44" xfId="0" applyFont="1" applyFill="1" applyBorder="1" applyAlignment="1">
      <alignment horizontal="left"/>
    </xf>
    <xf numFmtId="0" fontId="2" fillId="7" borderId="53" xfId="0" applyFont="1" applyFill="1" applyBorder="1" applyAlignment="1">
      <alignment horizontal="left"/>
    </xf>
    <xf numFmtId="0" fontId="2" fillId="7" borderId="55" xfId="0" applyFont="1" applyFill="1" applyBorder="1" applyAlignment="1">
      <alignment horizontal="left"/>
    </xf>
    <xf numFmtId="0" fontId="2" fillId="7" borderId="54" xfId="0" applyFont="1" applyFill="1" applyBorder="1" applyAlignment="1">
      <alignment horizontal="left"/>
    </xf>
    <xf numFmtId="0" fontId="2" fillId="7" borderId="41" xfId="0" applyFont="1" applyFill="1" applyBorder="1" applyAlignment="1">
      <alignment horizontal="left"/>
    </xf>
    <xf numFmtId="0" fontId="2" fillId="7" borderId="68" xfId="0" applyFont="1" applyFill="1" applyBorder="1" applyAlignment="1">
      <alignment horizontal="left"/>
    </xf>
    <xf numFmtId="0" fontId="2" fillId="7" borderId="44" xfId="0" applyFont="1" applyFill="1" applyBorder="1" applyAlignment="1">
      <alignment horizontal="left"/>
    </xf>
  </cellXfs>
  <cellStyles count="2">
    <cellStyle name="Normal" xfId="0" builtinId="0"/>
    <cellStyle name="Normal 2" xfId="1" xr:uid="{3CE8152C-5AB2-4D05-84B4-190EAF132A61}"/>
  </cellStyles>
  <dxfs count="0"/>
  <tableStyles count="0" defaultTableStyle="TableStyleMedium2" defaultPivotStyle="PivotStyleLight16"/>
  <colors>
    <mruColors>
      <color rgb="FFCC99FF"/>
      <color rgb="FF99FF33"/>
      <color rgb="FFFFCC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F9F8A-48F9-436C-9D41-C7BA28529896}">
  <dimension ref="A1:S97"/>
  <sheetViews>
    <sheetView topLeftCell="A63" zoomScaleNormal="100" workbookViewId="0">
      <selection activeCell="B89" sqref="B89"/>
    </sheetView>
  </sheetViews>
  <sheetFormatPr defaultColWidth="8.77734375" defaultRowHeight="14.4" x14ac:dyDescent="0.3"/>
  <cols>
    <col min="1" max="1" width="21.33203125" style="3" customWidth="1"/>
    <col min="2" max="2" width="22.109375" style="3" bestFit="1" customWidth="1"/>
    <col min="3" max="3" width="11.44140625" style="3" bestFit="1" customWidth="1"/>
    <col min="4" max="4" width="11" style="3" bestFit="1" customWidth="1"/>
    <col min="5" max="5" width="10.6640625" style="3" bestFit="1" customWidth="1"/>
    <col min="6" max="6" width="10.88671875" style="3" bestFit="1" customWidth="1"/>
    <col min="7" max="7" width="10.6640625" style="3" bestFit="1" customWidth="1"/>
    <col min="8" max="8" width="11.44140625" style="3" bestFit="1" customWidth="1"/>
    <col min="9" max="9" width="10.77734375" style="3" bestFit="1" customWidth="1"/>
    <col min="10" max="10" width="11" style="3" bestFit="1" customWidth="1"/>
    <col min="11" max="11" width="10.88671875" style="3" bestFit="1" customWidth="1"/>
    <col min="12" max="12" width="27.5546875" style="3" customWidth="1"/>
    <col min="13" max="13" width="11.88671875" style="3" customWidth="1"/>
    <col min="14" max="17" width="8.77734375" style="3"/>
    <col min="18" max="18" width="10.21875" style="55" customWidth="1"/>
    <col min="19" max="16384" width="8.77734375" style="3"/>
  </cols>
  <sheetData>
    <row r="1" spans="1:19" ht="15" thickBot="1" x14ac:dyDescent="0.35">
      <c r="A1" s="27" t="s">
        <v>0</v>
      </c>
      <c r="B1" s="28" t="s">
        <v>1</v>
      </c>
      <c r="C1" s="29" t="s">
        <v>2</v>
      </c>
      <c r="D1" s="30" t="s">
        <v>3</v>
      </c>
      <c r="E1" s="30" t="s">
        <v>48</v>
      </c>
      <c r="F1" s="30" t="s">
        <v>49</v>
      </c>
      <c r="G1" s="31" t="s">
        <v>4</v>
      </c>
      <c r="H1" s="27" t="s">
        <v>5</v>
      </c>
      <c r="I1" s="28" t="s">
        <v>6</v>
      </c>
      <c r="K1" s="27" t="s">
        <v>0</v>
      </c>
      <c r="L1" s="31" t="s">
        <v>1</v>
      </c>
      <c r="M1" s="32" t="s">
        <v>2</v>
      </c>
      <c r="N1" s="33" t="s">
        <v>3</v>
      </c>
      <c r="O1" s="33" t="s">
        <v>48</v>
      </c>
      <c r="P1" s="33" t="s">
        <v>49</v>
      </c>
      <c r="Q1" s="34" t="s">
        <v>4</v>
      </c>
      <c r="R1" s="32" t="s">
        <v>5</v>
      </c>
      <c r="S1" s="35" t="s">
        <v>6</v>
      </c>
    </row>
    <row r="2" spans="1:19" x14ac:dyDescent="0.3">
      <c r="A2" s="218" t="s">
        <v>120</v>
      </c>
      <c r="B2" s="236" t="s">
        <v>7</v>
      </c>
      <c r="C2" s="36" t="s">
        <v>111</v>
      </c>
      <c r="D2" s="37" t="s">
        <v>8</v>
      </c>
      <c r="E2" s="37" t="s">
        <v>10</v>
      </c>
      <c r="F2" s="37" t="s">
        <v>50</v>
      </c>
      <c r="G2" s="38" t="s">
        <v>51</v>
      </c>
      <c r="H2" s="39">
        <v>1932</v>
      </c>
      <c r="I2" s="1" t="s">
        <v>10</v>
      </c>
      <c r="K2" s="224" t="str">
        <f>A2</f>
        <v>AKL</v>
      </c>
      <c r="L2" s="238" t="str">
        <f>B2</f>
        <v>MCT/SLL</v>
      </c>
      <c r="M2" s="40" t="s">
        <v>121</v>
      </c>
      <c r="N2" s="41" t="s">
        <v>8</v>
      </c>
      <c r="O2" s="41" t="s">
        <v>10</v>
      </c>
      <c r="P2" s="41" t="s">
        <v>50</v>
      </c>
      <c r="Q2" s="42" t="s">
        <v>51</v>
      </c>
      <c r="R2" s="43">
        <f>H2+100</f>
        <v>2032</v>
      </c>
      <c r="S2" s="44" t="s">
        <v>10</v>
      </c>
    </row>
    <row r="3" spans="1:19" x14ac:dyDescent="0.3">
      <c r="A3" s="219"/>
      <c r="B3" s="222"/>
      <c r="C3" s="45" t="s">
        <v>112</v>
      </c>
      <c r="D3" s="46" t="s">
        <v>8</v>
      </c>
      <c r="E3" s="46" t="s">
        <v>10</v>
      </c>
      <c r="F3" s="46" t="s">
        <v>52</v>
      </c>
      <c r="G3" s="47" t="s">
        <v>51</v>
      </c>
      <c r="H3" s="48">
        <v>2251</v>
      </c>
      <c r="I3" s="2" t="s">
        <v>10</v>
      </c>
      <c r="K3" s="225"/>
      <c r="L3" s="239"/>
      <c r="M3" s="49" t="s">
        <v>122</v>
      </c>
      <c r="N3" s="50" t="s">
        <v>8</v>
      </c>
      <c r="O3" s="50" t="s">
        <v>10</v>
      </c>
      <c r="P3" s="50" t="s">
        <v>52</v>
      </c>
      <c r="Q3" s="51" t="s">
        <v>51</v>
      </c>
      <c r="R3" s="52">
        <f>H3+100</f>
        <v>2351</v>
      </c>
      <c r="S3" s="53" t="s">
        <v>10</v>
      </c>
    </row>
    <row r="4" spans="1:19" x14ac:dyDescent="0.3">
      <c r="A4" s="219"/>
      <c r="B4" s="222"/>
      <c r="C4" s="45" t="s">
        <v>113</v>
      </c>
      <c r="D4" s="46" t="s">
        <v>8</v>
      </c>
      <c r="E4" s="46" t="s">
        <v>10</v>
      </c>
      <c r="F4" s="46" t="s">
        <v>52</v>
      </c>
      <c r="G4" s="47" t="s">
        <v>51</v>
      </c>
      <c r="H4" s="48">
        <v>2335</v>
      </c>
      <c r="I4" s="2" t="s">
        <v>10</v>
      </c>
      <c r="K4" s="225"/>
      <c r="L4" s="239"/>
      <c r="M4" s="49" t="s">
        <v>123</v>
      </c>
      <c r="N4" s="50" t="s">
        <v>8</v>
      </c>
      <c r="O4" s="50" t="s">
        <v>10</v>
      </c>
      <c r="P4" s="50" t="s">
        <v>52</v>
      </c>
      <c r="Q4" s="51" t="s">
        <v>51</v>
      </c>
      <c r="R4" s="52">
        <f t="shared" ref="R4:R11" si="0">H4+100</f>
        <v>2435</v>
      </c>
      <c r="S4" s="53" t="s">
        <v>10</v>
      </c>
    </row>
    <row r="5" spans="1:19" x14ac:dyDescent="0.3">
      <c r="A5" s="219"/>
      <c r="B5" s="222"/>
      <c r="C5" s="45" t="s">
        <v>114</v>
      </c>
      <c r="D5" s="46" t="s">
        <v>8</v>
      </c>
      <c r="E5" s="46" t="s">
        <v>10</v>
      </c>
      <c r="F5" s="46" t="s">
        <v>53</v>
      </c>
      <c r="G5" s="47" t="s">
        <v>51</v>
      </c>
      <c r="H5" s="48">
        <v>2512</v>
      </c>
      <c r="I5" s="2" t="s">
        <v>10</v>
      </c>
      <c r="K5" s="225"/>
      <c r="L5" s="239"/>
      <c r="M5" s="49" t="s">
        <v>124</v>
      </c>
      <c r="N5" s="50" t="s">
        <v>8</v>
      </c>
      <c r="O5" s="50" t="s">
        <v>10</v>
      </c>
      <c r="P5" s="50" t="s">
        <v>53</v>
      </c>
      <c r="Q5" s="51" t="s">
        <v>51</v>
      </c>
      <c r="R5" s="52">
        <f t="shared" si="0"/>
        <v>2612</v>
      </c>
      <c r="S5" s="53" t="s">
        <v>10</v>
      </c>
    </row>
    <row r="6" spans="1:19" x14ac:dyDescent="0.3">
      <c r="A6" s="219"/>
      <c r="B6" s="222"/>
      <c r="C6" s="45" t="s">
        <v>115</v>
      </c>
      <c r="D6" s="46" t="s">
        <v>8</v>
      </c>
      <c r="E6" s="46" t="s">
        <v>10</v>
      </c>
      <c r="F6" s="46" t="s">
        <v>53</v>
      </c>
      <c r="G6" s="47" t="s">
        <v>51</v>
      </c>
      <c r="H6" s="48">
        <v>2705</v>
      </c>
      <c r="I6" s="2" t="s">
        <v>10</v>
      </c>
      <c r="K6" s="225"/>
      <c r="L6" s="239"/>
      <c r="M6" s="49" t="s">
        <v>125</v>
      </c>
      <c r="N6" s="50" t="s">
        <v>8</v>
      </c>
      <c r="O6" s="50" t="s">
        <v>10</v>
      </c>
      <c r="P6" s="50" t="s">
        <v>53</v>
      </c>
      <c r="Q6" s="51" t="s">
        <v>51</v>
      </c>
      <c r="R6" s="52">
        <f t="shared" si="0"/>
        <v>2805</v>
      </c>
      <c r="S6" s="53" t="s">
        <v>10</v>
      </c>
    </row>
    <row r="7" spans="1:19" x14ac:dyDescent="0.3">
      <c r="A7" s="219"/>
      <c r="B7" s="222"/>
      <c r="C7" s="45" t="s">
        <v>116</v>
      </c>
      <c r="D7" s="46" t="s">
        <v>8</v>
      </c>
      <c r="E7" s="46" t="s">
        <v>10</v>
      </c>
      <c r="F7" s="46" t="s">
        <v>53</v>
      </c>
      <c r="G7" s="47" t="s">
        <v>51</v>
      </c>
      <c r="H7" s="48">
        <v>2898</v>
      </c>
      <c r="I7" s="2" t="s">
        <v>10</v>
      </c>
      <c r="K7" s="225"/>
      <c r="L7" s="239"/>
      <c r="M7" s="49" t="s">
        <v>126</v>
      </c>
      <c r="N7" s="50" t="s">
        <v>8</v>
      </c>
      <c r="O7" s="50" t="s">
        <v>10</v>
      </c>
      <c r="P7" s="50" t="s">
        <v>53</v>
      </c>
      <c r="Q7" s="51" t="s">
        <v>51</v>
      </c>
      <c r="R7" s="52">
        <f t="shared" si="0"/>
        <v>2998</v>
      </c>
      <c r="S7" s="53" t="s">
        <v>10</v>
      </c>
    </row>
    <row r="8" spans="1:19" x14ac:dyDescent="0.3">
      <c r="A8" s="219"/>
      <c r="B8" s="222"/>
      <c r="C8" s="45" t="s">
        <v>117</v>
      </c>
      <c r="D8" s="46" t="s">
        <v>8</v>
      </c>
      <c r="E8" s="46" t="s">
        <v>10</v>
      </c>
      <c r="F8" s="46" t="s">
        <v>53</v>
      </c>
      <c r="G8" s="47" t="s">
        <v>51</v>
      </c>
      <c r="H8" s="48">
        <v>3108</v>
      </c>
      <c r="I8" s="2" t="s">
        <v>10</v>
      </c>
      <c r="K8" s="225"/>
      <c r="L8" s="239"/>
      <c r="M8" s="49" t="s">
        <v>127</v>
      </c>
      <c r="N8" s="50" t="s">
        <v>8</v>
      </c>
      <c r="O8" s="50" t="s">
        <v>10</v>
      </c>
      <c r="P8" s="50" t="s">
        <v>53</v>
      </c>
      <c r="Q8" s="51" t="s">
        <v>51</v>
      </c>
      <c r="R8" s="52">
        <f t="shared" si="0"/>
        <v>3208</v>
      </c>
      <c r="S8" s="53" t="s">
        <v>10</v>
      </c>
    </row>
    <row r="9" spans="1:19" x14ac:dyDescent="0.3">
      <c r="A9" s="219"/>
      <c r="B9" s="222"/>
      <c r="C9" s="45" t="s">
        <v>118</v>
      </c>
      <c r="D9" s="46" t="s">
        <v>8</v>
      </c>
      <c r="E9" s="46" t="s">
        <v>10</v>
      </c>
      <c r="F9" s="46" t="s">
        <v>53</v>
      </c>
      <c r="G9" s="47" t="s">
        <v>51</v>
      </c>
      <c r="H9" s="48">
        <v>3461</v>
      </c>
      <c r="I9" s="2" t="s">
        <v>10</v>
      </c>
      <c r="K9" s="225"/>
      <c r="L9" s="239"/>
      <c r="M9" s="49" t="s">
        <v>128</v>
      </c>
      <c r="N9" s="50" t="s">
        <v>8</v>
      </c>
      <c r="O9" s="50" t="s">
        <v>10</v>
      </c>
      <c r="P9" s="50" t="s">
        <v>53</v>
      </c>
      <c r="Q9" s="51" t="s">
        <v>51</v>
      </c>
      <c r="R9" s="52">
        <f t="shared" si="0"/>
        <v>3561</v>
      </c>
      <c r="S9" s="53" t="s">
        <v>10</v>
      </c>
    </row>
    <row r="10" spans="1:19" x14ac:dyDescent="0.3">
      <c r="A10" s="219"/>
      <c r="B10" s="222"/>
      <c r="C10" s="45" t="s">
        <v>119</v>
      </c>
      <c r="D10" s="46" t="s">
        <v>8</v>
      </c>
      <c r="E10" s="46" t="s">
        <v>10</v>
      </c>
      <c r="F10" s="46" t="s">
        <v>53</v>
      </c>
      <c r="G10" s="47" t="s">
        <v>51</v>
      </c>
      <c r="H10" s="48">
        <v>3822</v>
      </c>
      <c r="I10" s="2" t="s">
        <v>10</v>
      </c>
      <c r="K10" s="225"/>
      <c r="L10" s="239"/>
      <c r="M10" s="49" t="s">
        <v>129</v>
      </c>
      <c r="N10" s="50" t="s">
        <v>8</v>
      </c>
      <c r="O10" s="50" t="s">
        <v>10</v>
      </c>
      <c r="P10" s="50" t="s">
        <v>53</v>
      </c>
      <c r="Q10" s="51" t="s">
        <v>51</v>
      </c>
      <c r="R10" s="52">
        <f t="shared" si="0"/>
        <v>3922</v>
      </c>
      <c r="S10" s="53" t="s">
        <v>10</v>
      </c>
    </row>
    <row r="11" spans="1:19" ht="15" thickBot="1" x14ac:dyDescent="0.35">
      <c r="A11" s="220"/>
      <c r="B11" s="223"/>
      <c r="C11" s="95" t="s">
        <v>110</v>
      </c>
      <c r="D11" s="96" t="s">
        <v>8</v>
      </c>
      <c r="E11" s="96" t="s">
        <v>10</v>
      </c>
      <c r="F11" s="96" t="s">
        <v>53</v>
      </c>
      <c r="G11" s="97" t="s">
        <v>51</v>
      </c>
      <c r="H11" s="168">
        <v>4326</v>
      </c>
      <c r="I11" s="98" t="s">
        <v>10</v>
      </c>
      <c r="K11" s="226"/>
      <c r="L11" s="240"/>
      <c r="M11" s="85" t="s">
        <v>130</v>
      </c>
      <c r="N11" s="86" t="s">
        <v>8</v>
      </c>
      <c r="O11" s="86" t="s">
        <v>10</v>
      </c>
      <c r="P11" s="86" t="s">
        <v>53</v>
      </c>
      <c r="Q11" s="87" t="s">
        <v>51</v>
      </c>
      <c r="R11" s="88">
        <f t="shared" si="0"/>
        <v>4426</v>
      </c>
      <c r="S11" s="89" t="s">
        <v>10</v>
      </c>
    </row>
    <row r="12" spans="1:19" ht="15" thickBot="1" x14ac:dyDescent="0.35">
      <c r="A12" s="54"/>
      <c r="H12" s="55"/>
      <c r="I12" s="56"/>
      <c r="K12" s="54"/>
      <c r="S12" s="56"/>
    </row>
    <row r="13" spans="1:19" x14ac:dyDescent="0.3">
      <c r="A13" s="218" t="s">
        <v>120</v>
      </c>
      <c r="B13" s="221" t="s">
        <v>54</v>
      </c>
      <c r="C13" s="36" t="s">
        <v>111</v>
      </c>
      <c r="D13" s="37" t="s">
        <v>8</v>
      </c>
      <c r="E13" s="37" t="s">
        <v>10</v>
      </c>
      <c r="F13" s="37" t="s">
        <v>50</v>
      </c>
      <c r="G13" s="38" t="s">
        <v>51</v>
      </c>
      <c r="H13" s="39">
        <v>1898</v>
      </c>
      <c r="I13" s="1" t="s">
        <v>10</v>
      </c>
      <c r="K13" s="224" t="str">
        <f>A13</f>
        <v>AKL</v>
      </c>
      <c r="L13" s="227" t="str">
        <f>B13</f>
        <v>DXB/KWI/BAH/DOH/
JED/RUH/DMM/MED/TIF</v>
      </c>
      <c r="M13" s="40" t="s">
        <v>121</v>
      </c>
      <c r="N13" s="41" t="s">
        <v>8</v>
      </c>
      <c r="O13" s="41" t="s">
        <v>10</v>
      </c>
      <c r="P13" s="41" t="s">
        <v>50</v>
      </c>
      <c r="Q13" s="42" t="s">
        <v>51</v>
      </c>
      <c r="R13" s="43">
        <f>H13+100</f>
        <v>1998</v>
      </c>
      <c r="S13" s="44" t="s">
        <v>10</v>
      </c>
    </row>
    <row r="14" spans="1:19" x14ac:dyDescent="0.3">
      <c r="A14" s="219"/>
      <c r="B14" s="241"/>
      <c r="C14" s="45" t="s">
        <v>112</v>
      </c>
      <c r="D14" s="46" t="s">
        <v>8</v>
      </c>
      <c r="E14" s="46" t="s">
        <v>10</v>
      </c>
      <c r="F14" s="46" t="s">
        <v>52</v>
      </c>
      <c r="G14" s="47" t="s">
        <v>51</v>
      </c>
      <c r="H14" s="48">
        <v>2218</v>
      </c>
      <c r="I14" s="2" t="s">
        <v>10</v>
      </c>
      <c r="K14" s="225"/>
      <c r="L14" s="228"/>
      <c r="M14" s="49" t="s">
        <v>122</v>
      </c>
      <c r="N14" s="50" t="s">
        <v>8</v>
      </c>
      <c r="O14" s="50" t="s">
        <v>10</v>
      </c>
      <c r="P14" s="50" t="s">
        <v>52</v>
      </c>
      <c r="Q14" s="51" t="s">
        <v>51</v>
      </c>
      <c r="R14" s="52">
        <f>H14+100</f>
        <v>2318</v>
      </c>
      <c r="S14" s="53" t="s">
        <v>10</v>
      </c>
    </row>
    <row r="15" spans="1:19" x14ac:dyDescent="0.3">
      <c r="A15" s="219"/>
      <c r="B15" s="241"/>
      <c r="C15" s="45" t="s">
        <v>113</v>
      </c>
      <c r="D15" s="46" t="s">
        <v>8</v>
      </c>
      <c r="E15" s="46" t="s">
        <v>10</v>
      </c>
      <c r="F15" s="46" t="s">
        <v>52</v>
      </c>
      <c r="G15" s="47" t="s">
        <v>51</v>
      </c>
      <c r="H15" s="48">
        <v>2302</v>
      </c>
      <c r="I15" s="2" t="s">
        <v>10</v>
      </c>
      <c r="K15" s="225"/>
      <c r="L15" s="228"/>
      <c r="M15" s="49" t="s">
        <v>123</v>
      </c>
      <c r="N15" s="50" t="s">
        <v>8</v>
      </c>
      <c r="O15" s="50" t="s">
        <v>10</v>
      </c>
      <c r="P15" s="50" t="s">
        <v>52</v>
      </c>
      <c r="Q15" s="51" t="s">
        <v>51</v>
      </c>
      <c r="R15" s="52">
        <f t="shared" ref="R15:R22" si="1">H15+100</f>
        <v>2402</v>
      </c>
      <c r="S15" s="53" t="s">
        <v>10</v>
      </c>
    </row>
    <row r="16" spans="1:19" x14ac:dyDescent="0.3">
      <c r="A16" s="219"/>
      <c r="B16" s="241"/>
      <c r="C16" s="45" t="s">
        <v>114</v>
      </c>
      <c r="D16" s="46" t="s">
        <v>8</v>
      </c>
      <c r="E16" s="46" t="s">
        <v>10</v>
      </c>
      <c r="F16" s="46" t="s">
        <v>53</v>
      </c>
      <c r="G16" s="47" t="s">
        <v>51</v>
      </c>
      <c r="H16" s="48">
        <v>2478</v>
      </c>
      <c r="I16" s="2" t="s">
        <v>10</v>
      </c>
      <c r="K16" s="225"/>
      <c r="L16" s="228"/>
      <c r="M16" s="49" t="s">
        <v>124</v>
      </c>
      <c r="N16" s="50" t="s">
        <v>8</v>
      </c>
      <c r="O16" s="50" t="s">
        <v>10</v>
      </c>
      <c r="P16" s="50" t="s">
        <v>53</v>
      </c>
      <c r="Q16" s="51" t="s">
        <v>51</v>
      </c>
      <c r="R16" s="52">
        <f t="shared" si="1"/>
        <v>2578</v>
      </c>
      <c r="S16" s="53" t="s">
        <v>10</v>
      </c>
    </row>
    <row r="17" spans="1:19" x14ac:dyDescent="0.3">
      <c r="A17" s="219"/>
      <c r="B17" s="241"/>
      <c r="C17" s="45" t="s">
        <v>115</v>
      </c>
      <c r="D17" s="46" t="s">
        <v>8</v>
      </c>
      <c r="E17" s="46" t="s">
        <v>10</v>
      </c>
      <c r="F17" s="46" t="s">
        <v>53</v>
      </c>
      <c r="G17" s="47" t="s">
        <v>51</v>
      </c>
      <c r="H17" s="48">
        <v>2671</v>
      </c>
      <c r="I17" s="2" t="s">
        <v>10</v>
      </c>
      <c r="K17" s="225"/>
      <c r="L17" s="228"/>
      <c r="M17" s="49" t="s">
        <v>125</v>
      </c>
      <c r="N17" s="50" t="s">
        <v>8</v>
      </c>
      <c r="O17" s="50" t="s">
        <v>10</v>
      </c>
      <c r="P17" s="50" t="s">
        <v>53</v>
      </c>
      <c r="Q17" s="51" t="s">
        <v>51</v>
      </c>
      <c r="R17" s="52">
        <f t="shared" si="1"/>
        <v>2771</v>
      </c>
      <c r="S17" s="53" t="s">
        <v>10</v>
      </c>
    </row>
    <row r="18" spans="1:19" x14ac:dyDescent="0.3">
      <c r="A18" s="219"/>
      <c r="B18" s="241"/>
      <c r="C18" s="45" t="s">
        <v>116</v>
      </c>
      <c r="D18" s="46" t="s">
        <v>8</v>
      </c>
      <c r="E18" s="46" t="s">
        <v>10</v>
      </c>
      <c r="F18" s="46" t="s">
        <v>53</v>
      </c>
      <c r="G18" s="47" t="s">
        <v>51</v>
      </c>
      <c r="H18" s="48">
        <v>2864</v>
      </c>
      <c r="I18" s="2" t="s">
        <v>10</v>
      </c>
      <c r="K18" s="225"/>
      <c r="L18" s="228"/>
      <c r="M18" s="49" t="s">
        <v>126</v>
      </c>
      <c r="N18" s="50" t="s">
        <v>8</v>
      </c>
      <c r="O18" s="50" t="s">
        <v>10</v>
      </c>
      <c r="P18" s="50" t="s">
        <v>53</v>
      </c>
      <c r="Q18" s="51" t="s">
        <v>51</v>
      </c>
      <c r="R18" s="52">
        <f t="shared" si="1"/>
        <v>2964</v>
      </c>
      <c r="S18" s="53" t="s">
        <v>10</v>
      </c>
    </row>
    <row r="19" spans="1:19" x14ac:dyDescent="0.3">
      <c r="A19" s="219"/>
      <c r="B19" s="241"/>
      <c r="C19" s="45" t="s">
        <v>117</v>
      </c>
      <c r="D19" s="46" t="s">
        <v>8</v>
      </c>
      <c r="E19" s="46" t="s">
        <v>10</v>
      </c>
      <c r="F19" s="46" t="s">
        <v>53</v>
      </c>
      <c r="G19" s="47" t="s">
        <v>51</v>
      </c>
      <c r="H19" s="48">
        <v>3074</v>
      </c>
      <c r="I19" s="2" t="s">
        <v>10</v>
      </c>
      <c r="K19" s="225"/>
      <c r="L19" s="228"/>
      <c r="M19" s="49" t="s">
        <v>127</v>
      </c>
      <c r="N19" s="50" t="s">
        <v>8</v>
      </c>
      <c r="O19" s="50" t="s">
        <v>10</v>
      </c>
      <c r="P19" s="50" t="s">
        <v>53</v>
      </c>
      <c r="Q19" s="51" t="s">
        <v>51</v>
      </c>
      <c r="R19" s="52">
        <f t="shared" si="1"/>
        <v>3174</v>
      </c>
      <c r="S19" s="53" t="s">
        <v>10</v>
      </c>
    </row>
    <row r="20" spans="1:19" x14ac:dyDescent="0.3">
      <c r="A20" s="219"/>
      <c r="B20" s="241"/>
      <c r="C20" s="45" t="s">
        <v>118</v>
      </c>
      <c r="D20" s="46" t="s">
        <v>8</v>
      </c>
      <c r="E20" s="46" t="s">
        <v>10</v>
      </c>
      <c r="F20" s="46" t="s">
        <v>53</v>
      </c>
      <c r="G20" s="47" t="s">
        <v>51</v>
      </c>
      <c r="H20" s="48">
        <v>3427</v>
      </c>
      <c r="I20" s="2" t="s">
        <v>10</v>
      </c>
      <c r="K20" s="225"/>
      <c r="L20" s="228"/>
      <c r="M20" s="49" t="s">
        <v>128</v>
      </c>
      <c r="N20" s="50" t="s">
        <v>8</v>
      </c>
      <c r="O20" s="50" t="s">
        <v>10</v>
      </c>
      <c r="P20" s="50" t="s">
        <v>53</v>
      </c>
      <c r="Q20" s="51" t="s">
        <v>51</v>
      </c>
      <c r="R20" s="52">
        <f t="shared" si="1"/>
        <v>3527</v>
      </c>
      <c r="S20" s="53" t="s">
        <v>10</v>
      </c>
    </row>
    <row r="21" spans="1:19" x14ac:dyDescent="0.3">
      <c r="A21" s="219"/>
      <c r="B21" s="241"/>
      <c r="C21" s="45" t="s">
        <v>119</v>
      </c>
      <c r="D21" s="46" t="s">
        <v>8</v>
      </c>
      <c r="E21" s="46" t="s">
        <v>10</v>
      </c>
      <c r="F21" s="46" t="s">
        <v>53</v>
      </c>
      <c r="G21" s="47" t="s">
        <v>51</v>
      </c>
      <c r="H21" s="48">
        <v>3788</v>
      </c>
      <c r="I21" s="2" t="s">
        <v>10</v>
      </c>
      <c r="K21" s="225"/>
      <c r="L21" s="228"/>
      <c r="M21" s="49" t="s">
        <v>129</v>
      </c>
      <c r="N21" s="50" t="s">
        <v>8</v>
      </c>
      <c r="O21" s="50" t="s">
        <v>10</v>
      </c>
      <c r="P21" s="50" t="s">
        <v>53</v>
      </c>
      <c r="Q21" s="51" t="s">
        <v>51</v>
      </c>
      <c r="R21" s="52">
        <f t="shared" si="1"/>
        <v>3888</v>
      </c>
      <c r="S21" s="53" t="s">
        <v>10</v>
      </c>
    </row>
    <row r="22" spans="1:19" ht="15" thickBot="1" x14ac:dyDescent="0.35">
      <c r="A22" s="220"/>
      <c r="B22" s="242"/>
      <c r="C22" s="95" t="s">
        <v>110</v>
      </c>
      <c r="D22" s="96" t="s">
        <v>8</v>
      </c>
      <c r="E22" s="96" t="s">
        <v>10</v>
      </c>
      <c r="F22" s="96" t="s">
        <v>53</v>
      </c>
      <c r="G22" s="97" t="s">
        <v>51</v>
      </c>
      <c r="H22" s="168">
        <v>4292</v>
      </c>
      <c r="I22" s="98" t="s">
        <v>10</v>
      </c>
      <c r="K22" s="226"/>
      <c r="L22" s="229"/>
      <c r="M22" s="85" t="s">
        <v>130</v>
      </c>
      <c r="N22" s="86" t="s">
        <v>8</v>
      </c>
      <c r="O22" s="86" t="s">
        <v>10</v>
      </c>
      <c r="P22" s="86" t="s">
        <v>53</v>
      </c>
      <c r="Q22" s="87" t="s">
        <v>51</v>
      </c>
      <c r="R22" s="88">
        <f t="shared" si="1"/>
        <v>4392</v>
      </c>
      <c r="S22" s="89" t="s">
        <v>10</v>
      </c>
    </row>
    <row r="23" spans="1:19" ht="15" thickBot="1" x14ac:dyDescent="0.35">
      <c r="A23" s="54"/>
      <c r="H23" s="55"/>
      <c r="I23" s="56"/>
      <c r="K23" s="54"/>
      <c r="S23" s="56"/>
    </row>
    <row r="24" spans="1:19" ht="14.4" customHeight="1" x14ac:dyDescent="0.3">
      <c r="A24" s="218" t="s">
        <v>120</v>
      </c>
      <c r="B24" s="221" t="s">
        <v>190</v>
      </c>
      <c r="C24" s="36" t="s">
        <v>111</v>
      </c>
      <c r="D24" s="37" t="s">
        <v>8</v>
      </c>
      <c r="E24" s="37" t="s">
        <v>10</v>
      </c>
      <c r="F24" s="37" t="s">
        <v>50</v>
      </c>
      <c r="G24" s="38" t="s">
        <v>51</v>
      </c>
      <c r="H24" s="39">
        <v>1957</v>
      </c>
      <c r="I24" s="1" t="s">
        <v>10</v>
      </c>
      <c r="K24" s="224" t="str">
        <f>A24</f>
        <v>AKL</v>
      </c>
      <c r="L24" s="227" t="str">
        <f>B24</f>
        <v>CAI/AMM/IST/TZX/
MOW/DAR/ZNZ/BGW/AER</v>
      </c>
      <c r="M24" s="40" t="s">
        <v>121</v>
      </c>
      <c r="N24" s="41" t="s">
        <v>8</v>
      </c>
      <c r="O24" s="41" t="s">
        <v>10</v>
      </c>
      <c r="P24" s="41" t="s">
        <v>50</v>
      </c>
      <c r="Q24" s="42" t="s">
        <v>51</v>
      </c>
      <c r="R24" s="43">
        <f>H24+100</f>
        <v>2057</v>
      </c>
      <c r="S24" s="44" t="s">
        <v>10</v>
      </c>
    </row>
    <row r="25" spans="1:19" x14ac:dyDescent="0.3">
      <c r="A25" s="219"/>
      <c r="B25" s="241"/>
      <c r="C25" s="45" t="s">
        <v>112</v>
      </c>
      <c r="D25" s="46" t="s">
        <v>8</v>
      </c>
      <c r="E25" s="46" t="s">
        <v>10</v>
      </c>
      <c r="F25" s="46" t="s">
        <v>52</v>
      </c>
      <c r="G25" s="47" t="s">
        <v>51</v>
      </c>
      <c r="H25" s="48">
        <v>2276</v>
      </c>
      <c r="I25" s="2" t="s">
        <v>10</v>
      </c>
      <c r="K25" s="225"/>
      <c r="L25" s="228"/>
      <c r="M25" s="49" t="s">
        <v>122</v>
      </c>
      <c r="N25" s="50" t="s">
        <v>8</v>
      </c>
      <c r="O25" s="50" t="s">
        <v>10</v>
      </c>
      <c r="P25" s="50" t="s">
        <v>52</v>
      </c>
      <c r="Q25" s="51" t="s">
        <v>51</v>
      </c>
      <c r="R25" s="52">
        <f>H25+100</f>
        <v>2376</v>
      </c>
      <c r="S25" s="53" t="s">
        <v>10</v>
      </c>
    </row>
    <row r="26" spans="1:19" x14ac:dyDescent="0.3">
      <c r="A26" s="219"/>
      <c r="B26" s="241"/>
      <c r="C26" s="45" t="s">
        <v>113</v>
      </c>
      <c r="D26" s="46" t="s">
        <v>8</v>
      </c>
      <c r="E26" s="46" t="s">
        <v>10</v>
      </c>
      <c r="F26" s="46" t="s">
        <v>52</v>
      </c>
      <c r="G26" s="47" t="s">
        <v>51</v>
      </c>
      <c r="H26" s="48">
        <v>2360</v>
      </c>
      <c r="I26" s="2" t="s">
        <v>10</v>
      </c>
      <c r="K26" s="225"/>
      <c r="L26" s="228"/>
      <c r="M26" s="49" t="s">
        <v>123</v>
      </c>
      <c r="N26" s="50" t="s">
        <v>8</v>
      </c>
      <c r="O26" s="50" t="s">
        <v>10</v>
      </c>
      <c r="P26" s="50" t="s">
        <v>52</v>
      </c>
      <c r="Q26" s="51" t="s">
        <v>51</v>
      </c>
      <c r="R26" s="52">
        <f t="shared" ref="R26:R33" si="2">H26+100</f>
        <v>2460</v>
      </c>
      <c r="S26" s="53" t="s">
        <v>10</v>
      </c>
    </row>
    <row r="27" spans="1:19" x14ac:dyDescent="0.3">
      <c r="A27" s="219"/>
      <c r="B27" s="241"/>
      <c r="C27" s="45" t="s">
        <v>114</v>
      </c>
      <c r="D27" s="46" t="s">
        <v>8</v>
      </c>
      <c r="E27" s="46" t="s">
        <v>10</v>
      </c>
      <c r="F27" s="46" t="s">
        <v>53</v>
      </c>
      <c r="G27" s="47" t="s">
        <v>51</v>
      </c>
      <c r="H27" s="48">
        <v>2537</v>
      </c>
      <c r="I27" s="2" t="s">
        <v>10</v>
      </c>
      <c r="K27" s="225"/>
      <c r="L27" s="228"/>
      <c r="M27" s="49" t="s">
        <v>124</v>
      </c>
      <c r="N27" s="50" t="s">
        <v>8</v>
      </c>
      <c r="O27" s="50" t="s">
        <v>10</v>
      </c>
      <c r="P27" s="50" t="s">
        <v>53</v>
      </c>
      <c r="Q27" s="51" t="s">
        <v>51</v>
      </c>
      <c r="R27" s="52">
        <f t="shared" si="2"/>
        <v>2637</v>
      </c>
      <c r="S27" s="53" t="s">
        <v>10</v>
      </c>
    </row>
    <row r="28" spans="1:19" x14ac:dyDescent="0.3">
      <c r="A28" s="219"/>
      <c r="B28" s="241"/>
      <c r="C28" s="45" t="s">
        <v>115</v>
      </c>
      <c r="D28" s="46" t="s">
        <v>8</v>
      </c>
      <c r="E28" s="46" t="s">
        <v>10</v>
      </c>
      <c r="F28" s="46" t="s">
        <v>53</v>
      </c>
      <c r="G28" s="47" t="s">
        <v>51</v>
      </c>
      <c r="H28" s="48">
        <v>2730</v>
      </c>
      <c r="I28" s="2" t="s">
        <v>10</v>
      </c>
      <c r="K28" s="225"/>
      <c r="L28" s="228"/>
      <c r="M28" s="49" t="s">
        <v>125</v>
      </c>
      <c r="N28" s="50" t="s">
        <v>8</v>
      </c>
      <c r="O28" s="50" t="s">
        <v>10</v>
      </c>
      <c r="P28" s="50" t="s">
        <v>53</v>
      </c>
      <c r="Q28" s="51" t="s">
        <v>51</v>
      </c>
      <c r="R28" s="52">
        <f t="shared" si="2"/>
        <v>2830</v>
      </c>
      <c r="S28" s="53" t="s">
        <v>10</v>
      </c>
    </row>
    <row r="29" spans="1:19" x14ac:dyDescent="0.3">
      <c r="A29" s="219"/>
      <c r="B29" s="241"/>
      <c r="C29" s="45" t="s">
        <v>116</v>
      </c>
      <c r="D29" s="46" t="s">
        <v>8</v>
      </c>
      <c r="E29" s="46" t="s">
        <v>10</v>
      </c>
      <c r="F29" s="46" t="s">
        <v>53</v>
      </c>
      <c r="G29" s="47" t="s">
        <v>51</v>
      </c>
      <c r="H29" s="48">
        <v>2923</v>
      </c>
      <c r="I29" s="2" t="s">
        <v>10</v>
      </c>
      <c r="K29" s="225"/>
      <c r="L29" s="228"/>
      <c r="M29" s="49" t="s">
        <v>126</v>
      </c>
      <c r="N29" s="50" t="s">
        <v>8</v>
      </c>
      <c r="O29" s="50" t="s">
        <v>10</v>
      </c>
      <c r="P29" s="50" t="s">
        <v>53</v>
      </c>
      <c r="Q29" s="51" t="s">
        <v>51</v>
      </c>
      <c r="R29" s="52">
        <f t="shared" si="2"/>
        <v>3023</v>
      </c>
      <c r="S29" s="53" t="s">
        <v>10</v>
      </c>
    </row>
    <row r="30" spans="1:19" x14ac:dyDescent="0.3">
      <c r="A30" s="219"/>
      <c r="B30" s="241"/>
      <c r="C30" s="45" t="s">
        <v>117</v>
      </c>
      <c r="D30" s="46" t="s">
        <v>8</v>
      </c>
      <c r="E30" s="46" t="s">
        <v>10</v>
      </c>
      <c r="F30" s="46" t="s">
        <v>53</v>
      </c>
      <c r="G30" s="47" t="s">
        <v>51</v>
      </c>
      <c r="H30" s="48">
        <v>3133</v>
      </c>
      <c r="I30" s="2" t="s">
        <v>10</v>
      </c>
      <c r="K30" s="225"/>
      <c r="L30" s="228"/>
      <c r="M30" s="49" t="s">
        <v>127</v>
      </c>
      <c r="N30" s="50" t="s">
        <v>8</v>
      </c>
      <c r="O30" s="50" t="s">
        <v>10</v>
      </c>
      <c r="P30" s="50" t="s">
        <v>53</v>
      </c>
      <c r="Q30" s="51" t="s">
        <v>51</v>
      </c>
      <c r="R30" s="52">
        <f t="shared" si="2"/>
        <v>3233</v>
      </c>
      <c r="S30" s="53" t="s">
        <v>10</v>
      </c>
    </row>
    <row r="31" spans="1:19" x14ac:dyDescent="0.3">
      <c r="A31" s="219"/>
      <c r="B31" s="241"/>
      <c r="C31" s="45" t="s">
        <v>118</v>
      </c>
      <c r="D31" s="46" t="s">
        <v>8</v>
      </c>
      <c r="E31" s="46" t="s">
        <v>10</v>
      </c>
      <c r="F31" s="46" t="s">
        <v>53</v>
      </c>
      <c r="G31" s="47" t="s">
        <v>51</v>
      </c>
      <c r="H31" s="48">
        <v>3486</v>
      </c>
      <c r="I31" s="2" t="s">
        <v>10</v>
      </c>
      <c r="K31" s="225"/>
      <c r="L31" s="228"/>
      <c r="M31" s="49" t="s">
        <v>128</v>
      </c>
      <c r="N31" s="50" t="s">
        <v>8</v>
      </c>
      <c r="O31" s="50" t="s">
        <v>10</v>
      </c>
      <c r="P31" s="50" t="s">
        <v>53</v>
      </c>
      <c r="Q31" s="51" t="s">
        <v>51</v>
      </c>
      <c r="R31" s="52">
        <f t="shared" si="2"/>
        <v>3586</v>
      </c>
      <c r="S31" s="53" t="s">
        <v>10</v>
      </c>
    </row>
    <row r="32" spans="1:19" x14ac:dyDescent="0.3">
      <c r="A32" s="219"/>
      <c r="B32" s="241"/>
      <c r="C32" s="45" t="s">
        <v>119</v>
      </c>
      <c r="D32" s="46" t="s">
        <v>8</v>
      </c>
      <c r="E32" s="46" t="s">
        <v>10</v>
      </c>
      <c r="F32" s="46" t="s">
        <v>53</v>
      </c>
      <c r="G32" s="47" t="s">
        <v>51</v>
      </c>
      <c r="H32" s="48">
        <v>3847</v>
      </c>
      <c r="I32" s="2" t="s">
        <v>10</v>
      </c>
      <c r="K32" s="225"/>
      <c r="L32" s="228"/>
      <c r="M32" s="49" t="s">
        <v>129</v>
      </c>
      <c r="N32" s="50" t="s">
        <v>8</v>
      </c>
      <c r="O32" s="50" t="s">
        <v>10</v>
      </c>
      <c r="P32" s="50" t="s">
        <v>53</v>
      </c>
      <c r="Q32" s="51" t="s">
        <v>51</v>
      </c>
      <c r="R32" s="52">
        <f t="shared" si="2"/>
        <v>3947</v>
      </c>
      <c r="S32" s="53" t="s">
        <v>10</v>
      </c>
    </row>
    <row r="33" spans="1:19" ht="15" thickBot="1" x14ac:dyDescent="0.35">
      <c r="A33" s="220"/>
      <c r="B33" s="242"/>
      <c r="C33" s="95" t="s">
        <v>110</v>
      </c>
      <c r="D33" s="96" t="s">
        <v>8</v>
      </c>
      <c r="E33" s="96" t="s">
        <v>10</v>
      </c>
      <c r="F33" s="96" t="s">
        <v>53</v>
      </c>
      <c r="G33" s="97" t="s">
        <v>51</v>
      </c>
      <c r="H33" s="168">
        <v>4351</v>
      </c>
      <c r="I33" s="98" t="s">
        <v>10</v>
      </c>
      <c r="K33" s="226"/>
      <c r="L33" s="229"/>
      <c r="M33" s="85" t="s">
        <v>130</v>
      </c>
      <c r="N33" s="86" t="s">
        <v>8</v>
      </c>
      <c r="O33" s="86" t="s">
        <v>10</v>
      </c>
      <c r="P33" s="86" t="s">
        <v>53</v>
      </c>
      <c r="Q33" s="87" t="s">
        <v>51</v>
      </c>
      <c r="R33" s="88">
        <f t="shared" si="2"/>
        <v>4451</v>
      </c>
      <c r="S33" s="89" t="s">
        <v>10</v>
      </c>
    </row>
    <row r="34" spans="1:19" ht="15" thickBot="1" x14ac:dyDescent="0.35">
      <c r="A34" s="54"/>
      <c r="H34" s="55"/>
      <c r="I34" s="56"/>
      <c r="K34" s="54"/>
      <c r="S34" s="56"/>
    </row>
    <row r="35" spans="1:19" ht="14.55" customHeight="1" x14ac:dyDescent="0.3">
      <c r="A35" s="218" t="s">
        <v>120</v>
      </c>
      <c r="B35" s="221" t="s">
        <v>55</v>
      </c>
      <c r="C35" s="36" t="s">
        <v>111</v>
      </c>
      <c r="D35" s="37" t="s">
        <v>8</v>
      </c>
      <c r="E35" s="37" t="s">
        <v>10</v>
      </c>
      <c r="F35" s="37" t="s">
        <v>50</v>
      </c>
      <c r="G35" s="38" t="s">
        <v>51</v>
      </c>
      <c r="H35" s="39">
        <v>1865</v>
      </c>
      <c r="I35" s="1" t="s">
        <v>10</v>
      </c>
      <c r="K35" s="224" t="str">
        <f>A35</f>
        <v>AKL</v>
      </c>
      <c r="L35" s="227" t="str">
        <f>B35</f>
        <v>KHI/DEL/LKO/BOM/
GOX/BLR/HYD/MAA/
COK/CCJ/TRV/MLE/DAC</v>
      </c>
      <c r="M35" s="40" t="s">
        <v>121</v>
      </c>
      <c r="N35" s="41" t="s">
        <v>8</v>
      </c>
      <c r="O35" s="41" t="s">
        <v>10</v>
      </c>
      <c r="P35" s="41" t="s">
        <v>50</v>
      </c>
      <c r="Q35" s="42" t="s">
        <v>51</v>
      </c>
      <c r="R35" s="43">
        <f>H35+100</f>
        <v>1965</v>
      </c>
      <c r="S35" s="44" t="s">
        <v>10</v>
      </c>
    </row>
    <row r="36" spans="1:19" x14ac:dyDescent="0.3">
      <c r="A36" s="219"/>
      <c r="B36" s="222"/>
      <c r="C36" s="45" t="s">
        <v>112</v>
      </c>
      <c r="D36" s="46" t="s">
        <v>8</v>
      </c>
      <c r="E36" s="46" t="s">
        <v>10</v>
      </c>
      <c r="F36" s="46" t="s">
        <v>52</v>
      </c>
      <c r="G36" s="47" t="s">
        <v>51</v>
      </c>
      <c r="H36" s="48">
        <v>2184</v>
      </c>
      <c r="I36" s="2" t="s">
        <v>10</v>
      </c>
      <c r="K36" s="225"/>
      <c r="L36" s="228"/>
      <c r="M36" s="49" t="s">
        <v>122</v>
      </c>
      <c r="N36" s="50" t="s">
        <v>8</v>
      </c>
      <c r="O36" s="50" t="s">
        <v>10</v>
      </c>
      <c r="P36" s="50" t="s">
        <v>52</v>
      </c>
      <c r="Q36" s="51" t="s">
        <v>51</v>
      </c>
      <c r="R36" s="52">
        <f>H36+100</f>
        <v>2284</v>
      </c>
      <c r="S36" s="53" t="s">
        <v>10</v>
      </c>
    </row>
    <row r="37" spans="1:19" x14ac:dyDescent="0.3">
      <c r="A37" s="219"/>
      <c r="B37" s="222"/>
      <c r="C37" s="45" t="s">
        <v>113</v>
      </c>
      <c r="D37" s="46" t="s">
        <v>8</v>
      </c>
      <c r="E37" s="46" t="s">
        <v>10</v>
      </c>
      <c r="F37" s="46" t="s">
        <v>52</v>
      </c>
      <c r="G37" s="47" t="s">
        <v>51</v>
      </c>
      <c r="H37" s="48">
        <v>2268</v>
      </c>
      <c r="I37" s="2" t="s">
        <v>10</v>
      </c>
      <c r="K37" s="225"/>
      <c r="L37" s="228"/>
      <c r="M37" s="49" t="s">
        <v>123</v>
      </c>
      <c r="N37" s="50" t="s">
        <v>8</v>
      </c>
      <c r="O37" s="50" t="s">
        <v>10</v>
      </c>
      <c r="P37" s="50" t="s">
        <v>52</v>
      </c>
      <c r="Q37" s="51" t="s">
        <v>51</v>
      </c>
      <c r="R37" s="52">
        <f t="shared" ref="R37:R44" si="3">H37+100</f>
        <v>2368</v>
      </c>
      <c r="S37" s="53" t="s">
        <v>10</v>
      </c>
    </row>
    <row r="38" spans="1:19" x14ac:dyDescent="0.3">
      <c r="A38" s="219"/>
      <c r="B38" s="222"/>
      <c r="C38" s="45" t="s">
        <v>114</v>
      </c>
      <c r="D38" s="46" t="s">
        <v>8</v>
      </c>
      <c r="E38" s="46" t="s">
        <v>10</v>
      </c>
      <c r="F38" s="46" t="s">
        <v>53</v>
      </c>
      <c r="G38" s="47" t="s">
        <v>51</v>
      </c>
      <c r="H38" s="48">
        <v>2444</v>
      </c>
      <c r="I38" s="2" t="s">
        <v>10</v>
      </c>
      <c r="K38" s="225"/>
      <c r="L38" s="228"/>
      <c r="M38" s="49" t="s">
        <v>124</v>
      </c>
      <c r="N38" s="50" t="s">
        <v>8</v>
      </c>
      <c r="O38" s="50" t="s">
        <v>10</v>
      </c>
      <c r="P38" s="50" t="s">
        <v>53</v>
      </c>
      <c r="Q38" s="51" t="s">
        <v>51</v>
      </c>
      <c r="R38" s="52">
        <f t="shared" si="3"/>
        <v>2544</v>
      </c>
      <c r="S38" s="53" t="s">
        <v>10</v>
      </c>
    </row>
    <row r="39" spans="1:19" x14ac:dyDescent="0.3">
      <c r="A39" s="219"/>
      <c r="B39" s="222"/>
      <c r="C39" s="45" t="s">
        <v>115</v>
      </c>
      <c r="D39" s="46" t="s">
        <v>8</v>
      </c>
      <c r="E39" s="46" t="s">
        <v>10</v>
      </c>
      <c r="F39" s="46" t="s">
        <v>53</v>
      </c>
      <c r="G39" s="47" t="s">
        <v>51</v>
      </c>
      <c r="H39" s="48">
        <v>2638</v>
      </c>
      <c r="I39" s="2" t="s">
        <v>10</v>
      </c>
      <c r="K39" s="225"/>
      <c r="L39" s="228"/>
      <c r="M39" s="49" t="s">
        <v>125</v>
      </c>
      <c r="N39" s="50" t="s">
        <v>8</v>
      </c>
      <c r="O39" s="50" t="s">
        <v>10</v>
      </c>
      <c r="P39" s="50" t="s">
        <v>53</v>
      </c>
      <c r="Q39" s="51" t="s">
        <v>51</v>
      </c>
      <c r="R39" s="52">
        <f t="shared" si="3"/>
        <v>2738</v>
      </c>
      <c r="S39" s="53" t="s">
        <v>10</v>
      </c>
    </row>
    <row r="40" spans="1:19" x14ac:dyDescent="0.3">
      <c r="A40" s="219"/>
      <c r="B40" s="222"/>
      <c r="C40" s="45" t="s">
        <v>116</v>
      </c>
      <c r="D40" s="46" t="s">
        <v>8</v>
      </c>
      <c r="E40" s="46" t="s">
        <v>10</v>
      </c>
      <c r="F40" s="46" t="s">
        <v>53</v>
      </c>
      <c r="G40" s="47" t="s">
        <v>51</v>
      </c>
      <c r="H40" s="48">
        <v>2831</v>
      </c>
      <c r="I40" s="2" t="s">
        <v>10</v>
      </c>
      <c r="K40" s="225"/>
      <c r="L40" s="228"/>
      <c r="M40" s="49" t="s">
        <v>126</v>
      </c>
      <c r="N40" s="50" t="s">
        <v>8</v>
      </c>
      <c r="O40" s="50" t="s">
        <v>10</v>
      </c>
      <c r="P40" s="50" t="s">
        <v>53</v>
      </c>
      <c r="Q40" s="51" t="s">
        <v>51</v>
      </c>
      <c r="R40" s="52">
        <f t="shared" si="3"/>
        <v>2931</v>
      </c>
      <c r="S40" s="53" t="s">
        <v>10</v>
      </c>
    </row>
    <row r="41" spans="1:19" x14ac:dyDescent="0.3">
      <c r="A41" s="219"/>
      <c r="B41" s="222"/>
      <c r="C41" s="45" t="s">
        <v>117</v>
      </c>
      <c r="D41" s="46" t="s">
        <v>8</v>
      </c>
      <c r="E41" s="46" t="s">
        <v>10</v>
      </c>
      <c r="F41" s="46" t="s">
        <v>53</v>
      </c>
      <c r="G41" s="47" t="s">
        <v>51</v>
      </c>
      <c r="H41" s="48">
        <v>3041</v>
      </c>
      <c r="I41" s="2" t="s">
        <v>10</v>
      </c>
      <c r="K41" s="225"/>
      <c r="L41" s="228"/>
      <c r="M41" s="49" t="s">
        <v>127</v>
      </c>
      <c r="N41" s="50" t="s">
        <v>8</v>
      </c>
      <c r="O41" s="50" t="s">
        <v>10</v>
      </c>
      <c r="P41" s="50" t="s">
        <v>53</v>
      </c>
      <c r="Q41" s="51" t="s">
        <v>51</v>
      </c>
      <c r="R41" s="52">
        <f t="shared" si="3"/>
        <v>3141</v>
      </c>
      <c r="S41" s="53" t="s">
        <v>10</v>
      </c>
    </row>
    <row r="42" spans="1:19" x14ac:dyDescent="0.3">
      <c r="A42" s="219"/>
      <c r="B42" s="222"/>
      <c r="C42" s="45" t="s">
        <v>118</v>
      </c>
      <c r="D42" s="46" t="s">
        <v>8</v>
      </c>
      <c r="E42" s="46" t="s">
        <v>10</v>
      </c>
      <c r="F42" s="46" t="s">
        <v>53</v>
      </c>
      <c r="G42" s="47" t="s">
        <v>51</v>
      </c>
      <c r="H42" s="48">
        <v>3394</v>
      </c>
      <c r="I42" s="2" t="s">
        <v>10</v>
      </c>
      <c r="K42" s="225"/>
      <c r="L42" s="228"/>
      <c r="M42" s="49" t="s">
        <v>128</v>
      </c>
      <c r="N42" s="50" t="s">
        <v>8</v>
      </c>
      <c r="O42" s="50" t="s">
        <v>10</v>
      </c>
      <c r="P42" s="50" t="s">
        <v>53</v>
      </c>
      <c r="Q42" s="51" t="s">
        <v>51</v>
      </c>
      <c r="R42" s="52">
        <f t="shared" si="3"/>
        <v>3494</v>
      </c>
      <c r="S42" s="53" t="s">
        <v>10</v>
      </c>
    </row>
    <row r="43" spans="1:19" x14ac:dyDescent="0.3">
      <c r="A43" s="219"/>
      <c r="B43" s="222"/>
      <c r="C43" s="45" t="s">
        <v>119</v>
      </c>
      <c r="D43" s="46" t="s">
        <v>8</v>
      </c>
      <c r="E43" s="46" t="s">
        <v>10</v>
      </c>
      <c r="F43" s="46" t="s">
        <v>53</v>
      </c>
      <c r="G43" s="47" t="s">
        <v>51</v>
      </c>
      <c r="H43" s="48">
        <v>3755</v>
      </c>
      <c r="I43" s="2" t="s">
        <v>10</v>
      </c>
      <c r="K43" s="225"/>
      <c r="L43" s="228"/>
      <c r="M43" s="49" t="s">
        <v>129</v>
      </c>
      <c r="N43" s="50" t="s">
        <v>8</v>
      </c>
      <c r="O43" s="50" t="s">
        <v>10</v>
      </c>
      <c r="P43" s="50" t="s">
        <v>53</v>
      </c>
      <c r="Q43" s="51" t="s">
        <v>51</v>
      </c>
      <c r="R43" s="52">
        <f t="shared" si="3"/>
        <v>3855</v>
      </c>
      <c r="S43" s="53" t="s">
        <v>10</v>
      </c>
    </row>
    <row r="44" spans="1:19" ht="15" thickBot="1" x14ac:dyDescent="0.35">
      <c r="A44" s="220"/>
      <c r="B44" s="223"/>
      <c r="C44" s="95" t="s">
        <v>110</v>
      </c>
      <c r="D44" s="96" t="s">
        <v>8</v>
      </c>
      <c r="E44" s="96" t="s">
        <v>10</v>
      </c>
      <c r="F44" s="96" t="s">
        <v>53</v>
      </c>
      <c r="G44" s="97" t="s">
        <v>51</v>
      </c>
      <c r="H44" s="168">
        <v>4259</v>
      </c>
      <c r="I44" s="98" t="s">
        <v>10</v>
      </c>
      <c r="K44" s="226"/>
      <c r="L44" s="229"/>
      <c r="M44" s="85" t="s">
        <v>130</v>
      </c>
      <c r="N44" s="86" t="s">
        <v>8</v>
      </c>
      <c r="O44" s="86" t="s">
        <v>10</v>
      </c>
      <c r="P44" s="86" t="s">
        <v>53</v>
      </c>
      <c r="Q44" s="87" t="s">
        <v>51</v>
      </c>
      <c r="R44" s="88">
        <f t="shared" si="3"/>
        <v>4359</v>
      </c>
      <c r="S44" s="89" t="s">
        <v>10</v>
      </c>
    </row>
    <row r="45" spans="1:19" ht="15" thickBot="1" x14ac:dyDescent="0.35">
      <c r="A45" s="54"/>
      <c r="H45" s="55"/>
      <c r="I45" s="56"/>
      <c r="K45" s="54"/>
      <c r="S45" s="56"/>
    </row>
    <row r="46" spans="1:19" x14ac:dyDescent="0.3">
      <c r="A46" s="218" t="s">
        <v>120</v>
      </c>
      <c r="B46" s="236" t="s">
        <v>11</v>
      </c>
      <c r="C46" s="36" t="s">
        <v>111</v>
      </c>
      <c r="D46" s="37" t="s">
        <v>8</v>
      </c>
      <c r="E46" s="37" t="s">
        <v>10</v>
      </c>
      <c r="F46" s="37" t="s">
        <v>50</v>
      </c>
      <c r="G46" s="38" t="s">
        <v>51</v>
      </c>
      <c r="H46" s="39">
        <v>2066</v>
      </c>
      <c r="I46" s="1" t="s">
        <v>10</v>
      </c>
      <c r="K46" s="224" t="str">
        <f>A46</f>
        <v>AKL</v>
      </c>
      <c r="L46" s="227" t="str">
        <f>B46</f>
        <v>LON</v>
      </c>
      <c r="M46" s="40" t="s">
        <v>121</v>
      </c>
      <c r="N46" s="41" t="s">
        <v>8</v>
      </c>
      <c r="O46" s="41" t="s">
        <v>10</v>
      </c>
      <c r="P46" s="41" t="s">
        <v>50</v>
      </c>
      <c r="Q46" s="42" t="s">
        <v>51</v>
      </c>
      <c r="R46" s="43">
        <f>H46+100</f>
        <v>2166</v>
      </c>
      <c r="S46" s="44" t="s">
        <v>10</v>
      </c>
    </row>
    <row r="47" spans="1:19" x14ac:dyDescent="0.3">
      <c r="A47" s="219"/>
      <c r="B47" s="222"/>
      <c r="C47" s="45" t="s">
        <v>112</v>
      </c>
      <c r="D47" s="46" t="s">
        <v>8</v>
      </c>
      <c r="E47" s="46" t="s">
        <v>10</v>
      </c>
      <c r="F47" s="46" t="s">
        <v>52</v>
      </c>
      <c r="G47" s="47" t="s">
        <v>51</v>
      </c>
      <c r="H47" s="48">
        <v>2386</v>
      </c>
      <c r="I47" s="2" t="s">
        <v>10</v>
      </c>
      <c r="K47" s="225"/>
      <c r="L47" s="228"/>
      <c r="M47" s="49" t="s">
        <v>122</v>
      </c>
      <c r="N47" s="50" t="s">
        <v>8</v>
      </c>
      <c r="O47" s="50" t="s">
        <v>10</v>
      </c>
      <c r="P47" s="50" t="s">
        <v>52</v>
      </c>
      <c r="Q47" s="51" t="s">
        <v>51</v>
      </c>
      <c r="R47" s="52">
        <f>H47+100</f>
        <v>2486</v>
      </c>
      <c r="S47" s="53" t="s">
        <v>10</v>
      </c>
    </row>
    <row r="48" spans="1:19" x14ac:dyDescent="0.3">
      <c r="A48" s="219"/>
      <c r="B48" s="222"/>
      <c r="C48" s="45" t="s">
        <v>113</v>
      </c>
      <c r="D48" s="46" t="s">
        <v>8</v>
      </c>
      <c r="E48" s="46" t="s">
        <v>10</v>
      </c>
      <c r="F48" s="46" t="s">
        <v>52</v>
      </c>
      <c r="G48" s="47" t="s">
        <v>51</v>
      </c>
      <c r="H48" s="48">
        <v>2470</v>
      </c>
      <c r="I48" s="2" t="s">
        <v>10</v>
      </c>
      <c r="K48" s="225"/>
      <c r="L48" s="228"/>
      <c r="M48" s="49" t="s">
        <v>123</v>
      </c>
      <c r="N48" s="50" t="s">
        <v>8</v>
      </c>
      <c r="O48" s="50" t="s">
        <v>10</v>
      </c>
      <c r="P48" s="50" t="s">
        <v>52</v>
      </c>
      <c r="Q48" s="51" t="s">
        <v>51</v>
      </c>
      <c r="R48" s="52">
        <f t="shared" ref="R48:R55" si="4">H48+100</f>
        <v>2570</v>
      </c>
      <c r="S48" s="53" t="s">
        <v>10</v>
      </c>
    </row>
    <row r="49" spans="1:19" x14ac:dyDescent="0.3">
      <c r="A49" s="219"/>
      <c r="B49" s="222"/>
      <c r="C49" s="45" t="s">
        <v>114</v>
      </c>
      <c r="D49" s="46" t="s">
        <v>8</v>
      </c>
      <c r="E49" s="46" t="s">
        <v>10</v>
      </c>
      <c r="F49" s="46" t="s">
        <v>53</v>
      </c>
      <c r="G49" s="47" t="s">
        <v>51</v>
      </c>
      <c r="H49" s="48">
        <v>2646</v>
      </c>
      <c r="I49" s="2" t="s">
        <v>10</v>
      </c>
      <c r="K49" s="225"/>
      <c r="L49" s="228"/>
      <c r="M49" s="49" t="s">
        <v>124</v>
      </c>
      <c r="N49" s="50" t="s">
        <v>8</v>
      </c>
      <c r="O49" s="50" t="s">
        <v>10</v>
      </c>
      <c r="P49" s="50" t="s">
        <v>53</v>
      </c>
      <c r="Q49" s="51" t="s">
        <v>51</v>
      </c>
      <c r="R49" s="52">
        <f t="shared" si="4"/>
        <v>2746</v>
      </c>
      <c r="S49" s="53" t="s">
        <v>10</v>
      </c>
    </row>
    <row r="50" spans="1:19" x14ac:dyDescent="0.3">
      <c r="A50" s="219"/>
      <c r="B50" s="222"/>
      <c r="C50" s="45" t="s">
        <v>115</v>
      </c>
      <c r="D50" s="46" t="s">
        <v>8</v>
      </c>
      <c r="E50" s="46" t="s">
        <v>10</v>
      </c>
      <c r="F50" s="46" t="s">
        <v>53</v>
      </c>
      <c r="G50" s="47" t="s">
        <v>51</v>
      </c>
      <c r="H50" s="48">
        <v>2839</v>
      </c>
      <c r="I50" s="2" t="s">
        <v>10</v>
      </c>
      <c r="K50" s="225"/>
      <c r="L50" s="228"/>
      <c r="M50" s="49" t="s">
        <v>125</v>
      </c>
      <c r="N50" s="50" t="s">
        <v>8</v>
      </c>
      <c r="O50" s="50" t="s">
        <v>10</v>
      </c>
      <c r="P50" s="50" t="s">
        <v>53</v>
      </c>
      <c r="Q50" s="51" t="s">
        <v>51</v>
      </c>
      <c r="R50" s="52">
        <f t="shared" si="4"/>
        <v>2939</v>
      </c>
      <c r="S50" s="53" t="s">
        <v>10</v>
      </c>
    </row>
    <row r="51" spans="1:19" x14ac:dyDescent="0.3">
      <c r="A51" s="219"/>
      <c r="B51" s="222"/>
      <c r="C51" s="45" t="s">
        <v>116</v>
      </c>
      <c r="D51" s="46" t="s">
        <v>8</v>
      </c>
      <c r="E51" s="46" t="s">
        <v>10</v>
      </c>
      <c r="F51" s="46" t="s">
        <v>53</v>
      </c>
      <c r="G51" s="47" t="s">
        <v>51</v>
      </c>
      <c r="H51" s="48">
        <v>3032</v>
      </c>
      <c r="I51" s="2" t="s">
        <v>10</v>
      </c>
      <c r="K51" s="225"/>
      <c r="L51" s="228"/>
      <c r="M51" s="49" t="s">
        <v>126</v>
      </c>
      <c r="N51" s="50" t="s">
        <v>8</v>
      </c>
      <c r="O51" s="50" t="s">
        <v>10</v>
      </c>
      <c r="P51" s="50" t="s">
        <v>53</v>
      </c>
      <c r="Q51" s="51" t="s">
        <v>51</v>
      </c>
      <c r="R51" s="52">
        <f t="shared" si="4"/>
        <v>3132</v>
      </c>
      <c r="S51" s="53" t="s">
        <v>10</v>
      </c>
    </row>
    <row r="52" spans="1:19" x14ac:dyDescent="0.3">
      <c r="A52" s="219"/>
      <c r="B52" s="222"/>
      <c r="C52" s="45" t="s">
        <v>117</v>
      </c>
      <c r="D52" s="46" t="s">
        <v>8</v>
      </c>
      <c r="E52" s="46" t="s">
        <v>10</v>
      </c>
      <c r="F52" s="46" t="s">
        <v>53</v>
      </c>
      <c r="G52" s="47" t="s">
        <v>51</v>
      </c>
      <c r="H52" s="48">
        <v>3242</v>
      </c>
      <c r="I52" s="2" t="s">
        <v>10</v>
      </c>
      <c r="K52" s="225"/>
      <c r="L52" s="228"/>
      <c r="M52" s="49" t="s">
        <v>127</v>
      </c>
      <c r="N52" s="50" t="s">
        <v>8</v>
      </c>
      <c r="O52" s="50" t="s">
        <v>10</v>
      </c>
      <c r="P52" s="50" t="s">
        <v>53</v>
      </c>
      <c r="Q52" s="51" t="s">
        <v>51</v>
      </c>
      <c r="R52" s="52">
        <f t="shared" si="4"/>
        <v>3342</v>
      </c>
      <c r="S52" s="53" t="s">
        <v>10</v>
      </c>
    </row>
    <row r="53" spans="1:19" x14ac:dyDescent="0.3">
      <c r="A53" s="219"/>
      <c r="B53" s="222"/>
      <c r="C53" s="45" t="s">
        <v>118</v>
      </c>
      <c r="D53" s="46" t="s">
        <v>8</v>
      </c>
      <c r="E53" s="46" t="s">
        <v>10</v>
      </c>
      <c r="F53" s="46" t="s">
        <v>53</v>
      </c>
      <c r="G53" s="47" t="s">
        <v>51</v>
      </c>
      <c r="H53" s="48">
        <v>3595</v>
      </c>
      <c r="I53" s="2" t="s">
        <v>10</v>
      </c>
      <c r="K53" s="225"/>
      <c r="L53" s="228"/>
      <c r="M53" s="49" t="s">
        <v>128</v>
      </c>
      <c r="N53" s="50" t="s">
        <v>8</v>
      </c>
      <c r="O53" s="50" t="s">
        <v>10</v>
      </c>
      <c r="P53" s="50" t="s">
        <v>53</v>
      </c>
      <c r="Q53" s="51" t="s">
        <v>51</v>
      </c>
      <c r="R53" s="52">
        <f t="shared" si="4"/>
        <v>3695</v>
      </c>
      <c r="S53" s="53" t="s">
        <v>10</v>
      </c>
    </row>
    <row r="54" spans="1:19" x14ac:dyDescent="0.3">
      <c r="A54" s="219"/>
      <c r="B54" s="222"/>
      <c r="C54" s="45" t="s">
        <v>119</v>
      </c>
      <c r="D54" s="46" t="s">
        <v>8</v>
      </c>
      <c r="E54" s="46" t="s">
        <v>10</v>
      </c>
      <c r="F54" s="46" t="s">
        <v>53</v>
      </c>
      <c r="G54" s="47" t="s">
        <v>51</v>
      </c>
      <c r="H54" s="48">
        <v>3956</v>
      </c>
      <c r="I54" s="2" t="s">
        <v>10</v>
      </c>
      <c r="K54" s="225"/>
      <c r="L54" s="228"/>
      <c r="M54" s="49" t="s">
        <v>129</v>
      </c>
      <c r="N54" s="50" t="s">
        <v>8</v>
      </c>
      <c r="O54" s="50" t="s">
        <v>10</v>
      </c>
      <c r="P54" s="50" t="s">
        <v>53</v>
      </c>
      <c r="Q54" s="51" t="s">
        <v>51</v>
      </c>
      <c r="R54" s="52">
        <f t="shared" si="4"/>
        <v>4056</v>
      </c>
      <c r="S54" s="53" t="s">
        <v>10</v>
      </c>
    </row>
    <row r="55" spans="1:19" ht="15" thickBot="1" x14ac:dyDescent="0.35">
      <c r="A55" s="220"/>
      <c r="B55" s="223"/>
      <c r="C55" s="95" t="s">
        <v>110</v>
      </c>
      <c r="D55" s="96" t="s">
        <v>8</v>
      </c>
      <c r="E55" s="96" t="s">
        <v>10</v>
      </c>
      <c r="F55" s="96" t="s">
        <v>53</v>
      </c>
      <c r="G55" s="97" t="s">
        <v>51</v>
      </c>
      <c r="H55" s="168">
        <v>4460</v>
      </c>
      <c r="I55" s="98" t="s">
        <v>10</v>
      </c>
      <c r="K55" s="226"/>
      <c r="L55" s="229"/>
      <c r="M55" s="85" t="s">
        <v>130</v>
      </c>
      <c r="N55" s="86" t="s">
        <v>8</v>
      </c>
      <c r="O55" s="86" t="s">
        <v>10</v>
      </c>
      <c r="P55" s="86" t="s">
        <v>53</v>
      </c>
      <c r="Q55" s="87" t="s">
        <v>51</v>
      </c>
      <c r="R55" s="88">
        <f t="shared" si="4"/>
        <v>4560</v>
      </c>
      <c r="S55" s="89" t="s">
        <v>10</v>
      </c>
    </row>
    <row r="56" spans="1:19" ht="15" thickBot="1" x14ac:dyDescent="0.35">
      <c r="A56" s="54"/>
      <c r="H56" s="55"/>
      <c r="I56" s="56"/>
      <c r="K56" s="54"/>
      <c r="S56" s="56"/>
    </row>
    <row r="57" spans="1:19" x14ac:dyDescent="0.3">
      <c r="A57" s="218" t="s">
        <v>120</v>
      </c>
      <c r="B57" s="221" t="s">
        <v>56</v>
      </c>
      <c r="C57" s="36" t="s">
        <v>111</v>
      </c>
      <c r="D57" s="37" t="s">
        <v>8</v>
      </c>
      <c r="E57" s="37" t="s">
        <v>10</v>
      </c>
      <c r="F57" s="37" t="s">
        <v>50</v>
      </c>
      <c r="G57" s="38" t="s">
        <v>51</v>
      </c>
      <c r="H57" s="39">
        <v>1991</v>
      </c>
      <c r="I57" s="1" t="s">
        <v>10</v>
      </c>
      <c r="K57" s="224" t="str">
        <f>A57</f>
        <v>AKL</v>
      </c>
      <c r="L57" s="227" t="str">
        <f>B57</f>
        <v>FRA/MUC/PAR/MIL/
ROM/ZRH/AMS/CPH</v>
      </c>
      <c r="M57" s="40" t="s">
        <v>121</v>
      </c>
      <c r="N57" s="41" t="s">
        <v>8</v>
      </c>
      <c r="O57" s="41" t="s">
        <v>10</v>
      </c>
      <c r="P57" s="41" t="s">
        <v>50</v>
      </c>
      <c r="Q57" s="42" t="s">
        <v>51</v>
      </c>
      <c r="R57" s="43">
        <f>H57+100</f>
        <v>2091</v>
      </c>
      <c r="S57" s="44" t="s">
        <v>10</v>
      </c>
    </row>
    <row r="58" spans="1:19" x14ac:dyDescent="0.3">
      <c r="A58" s="219"/>
      <c r="B58" s="222"/>
      <c r="C58" s="45" t="s">
        <v>112</v>
      </c>
      <c r="D58" s="46" t="s">
        <v>8</v>
      </c>
      <c r="E58" s="46" t="s">
        <v>10</v>
      </c>
      <c r="F58" s="46" t="s">
        <v>52</v>
      </c>
      <c r="G58" s="47" t="s">
        <v>51</v>
      </c>
      <c r="H58" s="48">
        <v>2310</v>
      </c>
      <c r="I58" s="2" t="s">
        <v>10</v>
      </c>
      <c r="K58" s="225"/>
      <c r="L58" s="228"/>
      <c r="M58" s="49" t="s">
        <v>122</v>
      </c>
      <c r="N58" s="50" t="s">
        <v>8</v>
      </c>
      <c r="O58" s="50" t="s">
        <v>10</v>
      </c>
      <c r="P58" s="50" t="s">
        <v>52</v>
      </c>
      <c r="Q58" s="51" t="s">
        <v>51</v>
      </c>
      <c r="R58" s="52">
        <f>H58+100</f>
        <v>2410</v>
      </c>
      <c r="S58" s="53" t="s">
        <v>10</v>
      </c>
    </row>
    <row r="59" spans="1:19" x14ac:dyDescent="0.3">
      <c r="A59" s="219"/>
      <c r="B59" s="222"/>
      <c r="C59" s="45" t="s">
        <v>113</v>
      </c>
      <c r="D59" s="46" t="s">
        <v>8</v>
      </c>
      <c r="E59" s="46" t="s">
        <v>10</v>
      </c>
      <c r="F59" s="46" t="s">
        <v>52</v>
      </c>
      <c r="G59" s="47" t="s">
        <v>51</v>
      </c>
      <c r="H59" s="48">
        <v>2394</v>
      </c>
      <c r="I59" s="2" t="s">
        <v>10</v>
      </c>
      <c r="K59" s="225"/>
      <c r="L59" s="228"/>
      <c r="M59" s="49" t="s">
        <v>123</v>
      </c>
      <c r="N59" s="50" t="s">
        <v>8</v>
      </c>
      <c r="O59" s="50" t="s">
        <v>10</v>
      </c>
      <c r="P59" s="50" t="s">
        <v>52</v>
      </c>
      <c r="Q59" s="51" t="s">
        <v>51</v>
      </c>
      <c r="R59" s="52">
        <f t="shared" ref="R59:R66" si="5">H59+100</f>
        <v>2494</v>
      </c>
      <c r="S59" s="53" t="s">
        <v>10</v>
      </c>
    </row>
    <row r="60" spans="1:19" x14ac:dyDescent="0.3">
      <c r="A60" s="219"/>
      <c r="B60" s="222"/>
      <c r="C60" s="45" t="s">
        <v>114</v>
      </c>
      <c r="D60" s="46" t="s">
        <v>8</v>
      </c>
      <c r="E60" s="46" t="s">
        <v>10</v>
      </c>
      <c r="F60" s="46" t="s">
        <v>53</v>
      </c>
      <c r="G60" s="47" t="s">
        <v>51</v>
      </c>
      <c r="H60" s="48">
        <v>2570</v>
      </c>
      <c r="I60" s="2" t="s">
        <v>10</v>
      </c>
      <c r="K60" s="225"/>
      <c r="L60" s="228"/>
      <c r="M60" s="49" t="s">
        <v>124</v>
      </c>
      <c r="N60" s="50" t="s">
        <v>8</v>
      </c>
      <c r="O60" s="50" t="s">
        <v>10</v>
      </c>
      <c r="P60" s="50" t="s">
        <v>53</v>
      </c>
      <c r="Q60" s="51" t="s">
        <v>51</v>
      </c>
      <c r="R60" s="52">
        <f t="shared" si="5"/>
        <v>2670</v>
      </c>
      <c r="S60" s="53" t="s">
        <v>10</v>
      </c>
    </row>
    <row r="61" spans="1:19" x14ac:dyDescent="0.3">
      <c r="A61" s="219"/>
      <c r="B61" s="222"/>
      <c r="C61" s="45" t="s">
        <v>115</v>
      </c>
      <c r="D61" s="46" t="s">
        <v>8</v>
      </c>
      <c r="E61" s="46" t="s">
        <v>10</v>
      </c>
      <c r="F61" s="46" t="s">
        <v>53</v>
      </c>
      <c r="G61" s="47" t="s">
        <v>51</v>
      </c>
      <c r="H61" s="48">
        <v>2764</v>
      </c>
      <c r="I61" s="2" t="s">
        <v>10</v>
      </c>
      <c r="K61" s="225"/>
      <c r="L61" s="228"/>
      <c r="M61" s="49" t="s">
        <v>125</v>
      </c>
      <c r="N61" s="50" t="s">
        <v>8</v>
      </c>
      <c r="O61" s="50" t="s">
        <v>10</v>
      </c>
      <c r="P61" s="50" t="s">
        <v>53</v>
      </c>
      <c r="Q61" s="51" t="s">
        <v>51</v>
      </c>
      <c r="R61" s="52">
        <f t="shared" si="5"/>
        <v>2864</v>
      </c>
      <c r="S61" s="53" t="s">
        <v>10</v>
      </c>
    </row>
    <row r="62" spans="1:19" x14ac:dyDescent="0.3">
      <c r="A62" s="219"/>
      <c r="B62" s="222"/>
      <c r="C62" s="45" t="s">
        <v>116</v>
      </c>
      <c r="D62" s="46" t="s">
        <v>8</v>
      </c>
      <c r="E62" s="46" t="s">
        <v>10</v>
      </c>
      <c r="F62" s="46" t="s">
        <v>53</v>
      </c>
      <c r="G62" s="47" t="s">
        <v>51</v>
      </c>
      <c r="H62" s="48">
        <v>2957</v>
      </c>
      <c r="I62" s="2" t="s">
        <v>10</v>
      </c>
      <c r="K62" s="225"/>
      <c r="L62" s="228"/>
      <c r="M62" s="49" t="s">
        <v>126</v>
      </c>
      <c r="N62" s="50" t="s">
        <v>8</v>
      </c>
      <c r="O62" s="50" t="s">
        <v>10</v>
      </c>
      <c r="P62" s="50" t="s">
        <v>53</v>
      </c>
      <c r="Q62" s="51" t="s">
        <v>51</v>
      </c>
      <c r="R62" s="52">
        <f t="shared" si="5"/>
        <v>3057</v>
      </c>
      <c r="S62" s="53" t="s">
        <v>10</v>
      </c>
    </row>
    <row r="63" spans="1:19" x14ac:dyDescent="0.3">
      <c r="A63" s="219"/>
      <c r="B63" s="222"/>
      <c r="C63" s="45" t="s">
        <v>117</v>
      </c>
      <c r="D63" s="46" t="s">
        <v>8</v>
      </c>
      <c r="E63" s="46" t="s">
        <v>10</v>
      </c>
      <c r="F63" s="46" t="s">
        <v>53</v>
      </c>
      <c r="G63" s="47" t="s">
        <v>51</v>
      </c>
      <c r="H63" s="48">
        <v>3167</v>
      </c>
      <c r="I63" s="2" t="s">
        <v>10</v>
      </c>
      <c r="K63" s="225"/>
      <c r="L63" s="228"/>
      <c r="M63" s="49" t="s">
        <v>127</v>
      </c>
      <c r="N63" s="50" t="s">
        <v>8</v>
      </c>
      <c r="O63" s="50" t="s">
        <v>10</v>
      </c>
      <c r="P63" s="50" t="s">
        <v>53</v>
      </c>
      <c r="Q63" s="51" t="s">
        <v>51</v>
      </c>
      <c r="R63" s="52">
        <f t="shared" si="5"/>
        <v>3267</v>
      </c>
      <c r="S63" s="53" t="s">
        <v>10</v>
      </c>
    </row>
    <row r="64" spans="1:19" x14ac:dyDescent="0.3">
      <c r="A64" s="219"/>
      <c r="B64" s="222"/>
      <c r="C64" s="45" t="s">
        <v>118</v>
      </c>
      <c r="D64" s="46" t="s">
        <v>8</v>
      </c>
      <c r="E64" s="46" t="s">
        <v>10</v>
      </c>
      <c r="F64" s="46" t="s">
        <v>53</v>
      </c>
      <c r="G64" s="47" t="s">
        <v>51</v>
      </c>
      <c r="H64" s="48">
        <v>3520</v>
      </c>
      <c r="I64" s="2" t="s">
        <v>10</v>
      </c>
      <c r="K64" s="225"/>
      <c r="L64" s="228"/>
      <c r="M64" s="49" t="s">
        <v>128</v>
      </c>
      <c r="N64" s="50" t="s">
        <v>8</v>
      </c>
      <c r="O64" s="50" t="s">
        <v>10</v>
      </c>
      <c r="P64" s="50" t="s">
        <v>53</v>
      </c>
      <c r="Q64" s="51" t="s">
        <v>51</v>
      </c>
      <c r="R64" s="52">
        <f t="shared" si="5"/>
        <v>3620</v>
      </c>
      <c r="S64" s="53" t="s">
        <v>10</v>
      </c>
    </row>
    <row r="65" spans="1:19" x14ac:dyDescent="0.3">
      <c r="A65" s="219"/>
      <c r="B65" s="222"/>
      <c r="C65" s="45" t="s">
        <v>119</v>
      </c>
      <c r="D65" s="46" t="s">
        <v>8</v>
      </c>
      <c r="E65" s="46" t="s">
        <v>10</v>
      </c>
      <c r="F65" s="46" t="s">
        <v>53</v>
      </c>
      <c r="G65" s="47" t="s">
        <v>51</v>
      </c>
      <c r="H65" s="48">
        <v>3881</v>
      </c>
      <c r="I65" s="2" t="s">
        <v>10</v>
      </c>
      <c r="K65" s="225"/>
      <c r="L65" s="228"/>
      <c r="M65" s="49" t="s">
        <v>129</v>
      </c>
      <c r="N65" s="50" t="s">
        <v>8</v>
      </c>
      <c r="O65" s="50" t="s">
        <v>10</v>
      </c>
      <c r="P65" s="50" t="s">
        <v>53</v>
      </c>
      <c r="Q65" s="51" t="s">
        <v>51</v>
      </c>
      <c r="R65" s="52">
        <f t="shared" si="5"/>
        <v>3981</v>
      </c>
      <c r="S65" s="53" t="s">
        <v>10</v>
      </c>
    </row>
    <row r="66" spans="1:19" ht="15" thickBot="1" x14ac:dyDescent="0.35">
      <c r="A66" s="220"/>
      <c r="B66" s="223"/>
      <c r="C66" s="95" t="s">
        <v>110</v>
      </c>
      <c r="D66" s="96" t="s">
        <v>8</v>
      </c>
      <c r="E66" s="96" t="s">
        <v>10</v>
      </c>
      <c r="F66" s="96" t="s">
        <v>53</v>
      </c>
      <c r="G66" s="97" t="s">
        <v>51</v>
      </c>
      <c r="H66" s="168">
        <v>4385</v>
      </c>
      <c r="I66" s="98" t="s">
        <v>10</v>
      </c>
      <c r="K66" s="226"/>
      <c r="L66" s="229"/>
      <c r="M66" s="85" t="s">
        <v>130</v>
      </c>
      <c r="N66" s="86" t="s">
        <v>8</v>
      </c>
      <c r="O66" s="86" t="s">
        <v>10</v>
      </c>
      <c r="P66" s="86" t="s">
        <v>53</v>
      </c>
      <c r="Q66" s="87" t="s">
        <v>51</v>
      </c>
      <c r="R66" s="88">
        <f t="shared" si="5"/>
        <v>4485</v>
      </c>
      <c r="S66" s="89" t="s">
        <v>10</v>
      </c>
    </row>
    <row r="67" spans="1:19" ht="15" thickBot="1" x14ac:dyDescent="0.35">
      <c r="H67" s="55"/>
    </row>
    <row r="68" spans="1:19" x14ac:dyDescent="0.3">
      <c r="A68" s="230" t="s">
        <v>57</v>
      </c>
      <c r="B68" s="231"/>
      <c r="C68" s="232" t="s">
        <v>209</v>
      </c>
      <c r="D68" s="233"/>
      <c r="E68" s="233"/>
      <c r="F68" s="233"/>
      <c r="G68" s="233"/>
      <c r="H68" s="233"/>
      <c r="I68" s="234"/>
      <c r="K68" s="230" t="s">
        <v>57</v>
      </c>
      <c r="L68" s="235"/>
      <c r="M68" s="215" t="s">
        <v>199</v>
      </c>
      <c r="N68" s="216"/>
      <c r="O68" s="216"/>
      <c r="P68" s="216"/>
      <c r="Q68" s="216"/>
      <c r="R68" s="216"/>
      <c r="S68" s="217"/>
    </row>
    <row r="69" spans="1:19" x14ac:dyDescent="0.3">
      <c r="A69" s="212" t="s">
        <v>58</v>
      </c>
      <c r="B69" s="213"/>
      <c r="C69" s="194" t="s">
        <v>209</v>
      </c>
      <c r="D69" s="195"/>
      <c r="E69" s="195"/>
      <c r="F69" s="195"/>
      <c r="G69" s="195"/>
      <c r="H69" s="195"/>
      <c r="I69" s="196"/>
      <c r="K69" s="212" t="s">
        <v>58</v>
      </c>
      <c r="L69" s="214"/>
      <c r="M69" s="197" t="s">
        <v>153</v>
      </c>
      <c r="N69" s="198"/>
      <c r="O69" s="198"/>
      <c r="P69" s="198"/>
      <c r="Q69" s="198"/>
      <c r="R69" s="198"/>
      <c r="S69" s="199"/>
    </row>
    <row r="70" spans="1:19" x14ac:dyDescent="0.3">
      <c r="A70" s="212" t="s">
        <v>59</v>
      </c>
      <c r="B70" s="213"/>
      <c r="C70" s="194" t="s">
        <v>210</v>
      </c>
      <c r="D70" s="195"/>
      <c r="E70" s="195"/>
      <c r="F70" s="195"/>
      <c r="G70" s="195"/>
      <c r="H70" s="195"/>
      <c r="I70" s="196"/>
      <c r="K70" s="212" t="s">
        <v>59</v>
      </c>
      <c r="L70" s="214"/>
      <c r="M70" s="197" t="s">
        <v>198</v>
      </c>
      <c r="N70" s="198"/>
      <c r="O70" s="198"/>
      <c r="P70" s="198"/>
      <c r="Q70" s="198"/>
      <c r="R70" s="198"/>
      <c r="S70" s="199"/>
    </row>
    <row r="71" spans="1:19" x14ac:dyDescent="0.3">
      <c r="A71" s="212" t="s">
        <v>60</v>
      </c>
      <c r="B71" s="213"/>
      <c r="C71" s="194" t="s">
        <v>61</v>
      </c>
      <c r="D71" s="195"/>
      <c r="E71" s="195"/>
      <c r="F71" s="195"/>
      <c r="G71" s="195"/>
      <c r="H71" s="195"/>
      <c r="I71" s="196"/>
      <c r="K71" s="212" t="s">
        <v>60</v>
      </c>
      <c r="L71" s="214"/>
      <c r="M71" s="197" t="s">
        <v>61</v>
      </c>
      <c r="N71" s="198"/>
      <c r="O71" s="198"/>
      <c r="P71" s="198"/>
      <c r="Q71" s="198"/>
      <c r="R71" s="198"/>
      <c r="S71" s="199"/>
    </row>
    <row r="72" spans="1:19" x14ac:dyDescent="0.3">
      <c r="A72" s="209" t="s">
        <v>62</v>
      </c>
      <c r="B72" s="210"/>
      <c r="C72" s="194" t="s">
        <v>63</v>
      </c>
      <c r="D72" s="195"/>
      <c r="E72" s="195"/>
      <c r="F72" s="195"/>
      <c r="G72" s="195"/>
      <c r="H72" s="195"/>
      <c r="I72" s="196"/>
      <c r="K72" s="209" t="s">
        <v>62</v>
      </c>
      <c r="L72" s="211"/>
      <c r="M72" s="197" t="s">
        <v>63</v>
      </c>
      <c r="N72" s="198"/>
      <c r="O72" s="198"/>
      <c r="P72" s="198"/>
      <c r="Q72" s="198"/>
      <c r="R72" s="198"/>
      <c r="S72" s="199"/>
    </row>
    <row r="73" spans="1:19" x14ac:dyDescent="0.3">
      <c r="A73" s="209" t="s">
        <v>64</v>
      </c>
      <c r="B73" s="210"/>
      <c r="C73" s="194" t="s">
        <v>65</v>
      </c>
      <c r="D73" s="195"/>
      <c r="E73" s="195"/>
      <c r="F73" s="195"/>
      <c r="G73" s="195"/>
      <c r="H73" s="195"/>
      <c r="I73" s="196"/>
      <c r="K73" s="209" t="s">
        <v>64</v>
      </c>
      <c r="L73" s="211"/>
      <c r="M73" s="197" t="s">
        <v>65</v>
      </c>
      <c r="N73" s="198"/>
      <c r="O73" s="198"/>
      <c r="P73" s="198"/>
      <c r="Q73" s="198"/>
      <c r="R73" s="198"/>
      <c r="S73" s="199"/>
    </row>
    <row r="74" spans="1:19" x14ac:dyDescent="0.3">
      <c r="A74" s="209" t="s">
        <v>66</v>
      </c>
      <c r="B74" s="210"/>
      <c r="C74" s="194" t="s">
        <v>67</v>
      </c>
      <c r="D74" s="195"/>
      <c r="E74" s="195"/>
      <c r="F74" s="195"/>
      <c r="G74" s="195"/>
      <c r="H74" s="195"/>
      <c r="I74" s="196"/>
      <c r="K74" s="209" t="s">
        <v>66</v>
      </c>
      <c r="L74" s="211"/>
      <c r="M74" s="197" t="s">
        <v>67</v>
      </c>
      <c r="N74" s="198"/>
      <c r="O74" s="198"/>
      <c r="P74" s="198"/>
      <c r="Q74" s="198"/>
      <c r="R74" s="198"/>
      <c r="S74" s="199"/>
    </row>
    <row r="75" spans="1:19" x14ac:dyDescent="0.3">
      <c r="A75" s="209" t="s">
        <v>68</v>
      </c>
      <c r="B75" s="210"/>
      <c r="C75" s="194" t="s">
        <v>65</v>
      </c>
      <c r="D75" s="195"/>
      <c r="E75" s="195"/>
      <c r="F75" s="195"/>
      <c r="G75" s="195"/>
      <c r="H75" s="195"/>
      <c r="I75" s="196"/>
      <c r="K75" s="209" t="s">
        <v>68</v>
      </c>
      <c r="L75" s="211"/>
      <c r="M75" s="197" t="s">
        <v>65</v>
      </c>
      <c r="N75" s="198"/>
      <c r="O75" s="198"/>
      <c r="P75" s="198"/>
      <c r="Q75" s="198"/>
      <c r="R75" s="198"/>
      <c r="S75" s="199"/>
    </row>
    <row r="76" spans="1:19" x14ac:dyDescent="0.3">
      <c r="A76" s="209" t="s">
        <v>69</v>
      </c>
      <c r="B76" s="210"/>
      <c r="C76" s="194" t="s">
        <v>70</v>
      </c>
      <c r="D76" s="195"/>
      <c r="E76" s="195"/>
      <c r="F76" s="195"/>
      <c r="G76" s="195"/>
      <c r="H76" s="195"/>
      <c r="I76" s="196"/>
      <c r="K76" s="209" t="s">
        <v>69</v>
      </c>
      <c r="L76" s="211"/>
      <c r="M76" s="197" t="s">
        <v>70</v>
      </c>
      <c r="N76" s="198"/>
      <c r="O76" s="198"/>
      <c r="P76" s="198"/>
      <c r="Q76" s="198"/>
      <c r="R76" s="198"/>
      <c r="S76" s="199"/>
    </row>
    <row r="77" spans="1:19" x14ac:dyDescent="0.3">
      <c r="A77" s="209" t="s">
        <v>71</v>
      </c>
      <c r="B77" s="210"/>
      <c r="C77" s="194" t="s">
        <v>72</v>
      </c>
      <c r="D77" s="195"/>
      <c r="E77" s="195"/>
      <c r="F77" s="195"/>
      <c r="G77" s="195"/>
      <c r="H77" s="195"/>
      <c r="I77" s="196"/>
      <c r="K77" s="209" t="s">
        <v>71</v>
      </c>
      <c r="L77" s="211"/>
      <c r="M77" s="197" t="s">
        <v>72</v>
      </c>
      <c r="N77" s="198"/>
      <c r="O77" s="198"/>
      <c r="P77" s="198"/>
      <c r="Q77" s="198"/>
      <c r="R77" s="198"/>
      <c r="S77" s="199"/>
    </row>
    <row r="78" spans="1:19" x14ac:dyDescent="0.3">
      <c r="A78" s="192" t="s">
        <v>73</v>
      </c>
      <c r="B78" s="193"/>
      <c r="C78" s="194" t="s">
        <v>132</v>
      </c>
      <c r="D78" s="195"/>
      <c r="E78" s="195"/>
      <c r="F78" s="195"/>
      <c r="G78" s="195"/>
      <c r="H78" s="195"/>
      <c r="I78" s="196"/>
      <c r="K78" s="192" t="s">
        <v>73</v>
      </c>
      <c r="L78" s="193"/>
      <c r="M78" s="197" t="s">
        <v>132</v>
      </c>
      <c r="N78" s="198"/>
      <c r="O78" s="198"/>
      <c r="P78" s="198"/>
      <c r="Q78" s="198"/>
      <c r="R78" s="198"/>
      <c r="S78" s="199"/>
    </row>
    <row r="79" spans="1:19" ht="15" thickBot="1" x14ac:dyDescent="0.35">
      <c r="A79" s="200" t="s">
        <v>74</v>
      </c>
      <c r="B79" s="201"/>
      <c r="C79" s="202" t="s">
        <v>131</v>
      </c>
      <c r="D79" s="203"/>
      <c r="E79" s="203"/>
      <c r="F79" s="203"/>
      <c r="G79" s="203"/>
      <c r="H79" s="203"/>
      <c r="I79" s="204"/>
      <c r="K79" s="200" t="s">
        <v>74</v>
      </c>
      <c r="L79" s="205"/>
      <c r="M79" s="206" t="s">
        <v>131</v>
      </c>
      <c r="N79" s="207"/>
      <c r="O79" s="207"/>
      <c r="P79" s="207"/>
      <c r="Q79" s="207"/>
      <c r="R79" s="207"/>
      <c r="S79" s="208"/>
    </row>
    <row r="80" spans="1:19" ht="15" thickBot="1" x14ac:dyDescent="0.35">
      <c r="A80" s="182" t="s">
        <v>75</v>
      </c>
      <c r="B80" s="183"/>
      <c r="C80" s="186" t="s">
        <v>133</v>
      </c>
      <c r="D80" s="186"/>
      <c r="E80" s="186"/>
      <c r="F80" s="186"/>
      <c r="G80" s="186"/>
      <c r="H80" s="186"/>
      <c r="I80" s="183"/>
      <c r="K80" s="182" t="s">
        <v>75</v>
      </c>
      <c r="L80" s="183"/>
      <c r="M80" s="186" t="s">
        <v>133</v>
      </c>
      <c r="N80" s="186"/>
      <c r="O80" s="186"/>
      <c r="P80" s="186"/>
      <c r="Q80" s="186"/>
      <c r="R80" s="186"/>
      <c r="S80" s="183"/>
    </row>
    <row r="81" spans="1:19" ht="15" thickBot="1" x14ac:dyDescent="0.35">
      <c r="A81" s="182" t="s">
        <v>76</v>
      </c>
      <c r="B81" s="186"/>
      <c r="C81" s="186"/>
      <c r="D81" s="186"/>
      <c r="E81" s="186"/>
      <c r="F81" s="186"/>
      <c r="G81" s="186"/>
      <c r="H81" s="186"/>
      <c r="I81" s="183"/>
      <c r="K81" s="182" t="s">
        <v>76</v>
      </c>
      <c r="L81" s="186"/>
      <c r="M81" s="186"/>
      <c r="N81" s="186"/>
      <c r="O81" s="186"/>
      <c r="P81" s="186"/>
      <c r="Q81" s="186"/>
      <c r="R81" s="186"/>
      <c r="S81" s="183"/>
    </row>
    <row r="82" spans="1:19" ht="15" thickBot="1" x14ac:dyDescent="0.35">
      <c r="A82" s="57"/>
      <c r="B82" s="58"/>
      <c r="C82" s="58"/>
      <c r="D82" s="58"/>
      <c r="E82" s="58"/>
      <c r="F82" s="58"/>
      <c r="G82" s="58"/>
      <c r="H82" s="58"/>
      <c r="I82" s="58"/>
      <c r="K82" s="58"/>
      <c r="L82" s="4"/>
      <c r="M82" s="4"/>
      <c r="N82" s="4"/>
      <c r="O82" s="4"/>
      <c r="P82" s="4"/>
      <c r="Q82" s="4"/>
      <c r="R82" s="4"/>
      <c r="S82" s="4"/>
    </row>
    <row r="83" spans="1:19" ht="18.600000000000001" thickBot="1" x14ac:dyDescent="0.4">
      <c r="A83" s="187" t="s">
        <v>77</v>
      </c>
      <c r="B83" s="188"/>
      <c r="C83" s="189" t="s">
        <v>78</v>
      </c>
      <c r="D83" s="190"/>
      <c r="E83" s="190"/>
      <c r="F83" s="190"/>
      <c r="G83" s="190"/>
      <c r="H83" s="190"/>
      <c r="I83" s="190"/>
      <c r="J83" s="190"/>
      <c r="K83" s="190"/>
      <c r="L83" s="191"/>
      <c r="R83" s="3"/>
    </row>
    <row r="84" spans="1:19" ht="15" thickBot="1" x14ac:dyDescent="0.35"/>
    <row r="85" spans="1:19" ht="15" thickBot="1" x14ac:dyDescent="0.35">
      <c r="A85" s="184" t="s">
        <v>79</v>
      </c>
      <c r="B85" s="185"/>
      <c r="R85" s="3"/>
    </row>
    <row r="88" spans="1:19" x14ac:dyDescent="0.3">
      <c r="A88" s="180" t="s">
        <v>207</v>
      </c>
      <c r="B88" s="237" t="s">
        <v>208</v>
      </c>
      <c r="C88" s="237"/>
      <c r="D88" s="237"/>
      <c r="E88" s="237"/>
      <c r="F88" s="237"/>
      <c r="G88" s="237"/>
      <c r="H88" s="237"/>
      <c r="I88" s="237"/>
      <c r="J88" s="237"/>
      <c r="K88" s="237"/>
    </row>
    <row r="89" spans="1:19" ht="14.4" customHeight="1" x14ac:dyDescent="0.3">
      <c r="A89" s="176" t="s">
        <v>154</v>
      </c>
      <c r="B89" s="46" t="s">
        <v>111</v>
      </c>
      <c r="C89" s="46" t="s">
        <v>112</v>
      </c>
      <c r="D89" s="46" t="s">
        <v>113</v>
      </c>
      <c r="E89" s="46" t="s">
        <v>114</v>
      </c>
      <c r="F89" s="46" t="s">
        <v>115</v>
      </c>
      <c r="G89" s="46" t="s">
        <v>116</v>
      </c>
      <c r="H89" s="46" t="s">
        <v>117</v>
      </c>
      <c r="I89" s="46" t="s">
        <v>118</v>
      </c>
      <c r="J89" s="46" t="s">
        <v>119</v>
      </c>
      <c r="K89" s="46" t="s">
        <v>110</v>
      </c>
      <c r="Q89" s="55"/>
      <c r="R89" s="3"/>
    </row>
    <row r="90" spans="1:19" ht="14.4" customHeight="1" x14ac:dyDescent="0.3">
      <c r="A90" s="177" t="s">
        <v>205</v>
      </c>
      <c r="B90" s="181" t="s">
        <v>15</v>
      </c>
      <c r="C90" s="181" t="s">
        <v>15</v>
      </c>
      <c r="D90" s="181" t="s">
        <v>17</v>
      </c>
      <c r="E90" s="181" t="s">
        <v>17</v>
      </c>
      <c r="F90" s="181" t="s">
        <v>19</v>
      </c>
      <c r="G90" s="181" t="s">
        <v>19</v>
      </c>
      <c r="H90" s="181" t="s">
        <v>21</v>
      </c>
      <c r="I90" s="181" t="s">
        <v>21</v>
      </c>
      <c r="J90" s="181" t="s">
        <v>23</v>
      </c>
      <c r="K90" s="181" t="s">
        <v>23</v>
      </c>
      <c r="Q90" s="55"/>
      <c r="R90" s="3"/>
    </row>
    <row r="91" spans="1:19" ht="28.8" x14ac:dyDescent="0.3">
      <c r="A91" s="177" t="s">
        <v>201</v>
      </c>
      <c r="B91" s="178" t="s">
        <v>16</v>
      </c>
      <c r="C91" s="178" t="s">
        <v>26</v>
      </c>
      <c r="D91" s="178" t="s">
        <v>18</v>
      </c>
      <c r="E91" s="178" t="s">
        <v>20</v>
      </c>
      <c r="F91" s="178" t="s">
        <v>22</v>
      </c>
      <c r="G91" s="178" t="s">
        <v>24</v>
      </c>
      <c r="H91" s="178" t="s">
        <v>27</v>
      </c>
      <c r="I91" s="178" t="s">
        <v>28</v>
      </c>
      <c r="J91" s="178" t="s">
        <v>29</v>
      </c>
      <c r="K91" s="179" t="s">
        <v>46</v>
      </c>
      <c r="Q91" s="55"/>
      <c r="R91" s="3"/>
    </row>
    <row r="92" spans="1:19" x14ac:dyDescent="0.3">
      <c r="A92" s="177" t="s">
        <v>202</v>
      </c>
      <c r="B92" s="99" t="s">
        <v>16</v>
      </c>
      <c r="C92" s="99" t="s">
        <v>26</v>
      </c>
      <c r="D92" s="99" t="s">
        <v>18</v>
      </c>
      <c r="E92" s="99" t="s">
        <v>20</v>
      </c>
      <c r="F92" s="99" t="s">
        <v>22</v>
      </c>
      <c r="G92" s="99" t="s">
        <v>24</v>
      </c>
      <c r="H92" s="99" t="s">
        <v>27</v>
      </c>
      <c r="I92" s="99" t="s">
        <v>28</v>
      </c>
      <c r="J92" s="99" t="s">
        <v>29</v>
      </c>
      <c r="K92" s="180" t="s">
        <v>46</v>
      </c>
      <c r="Q92" s="55"/>
      <c r="R92" s="3"/>
    </row>
    <row r="93" spans="1:19" x14ac:dyDescent="0.3">
      <c r="A93" s="177" t="s">
        <v>200</v>
      </c>
      <c r="B93" s="99" t="s">
        <v>16</v>
      </c>
      <c r="C93" s="99" t="s">
        <v>26</v>
      </c>
      <c r="D93" s="99" t="s">
        <v>18</v>
      </c>
      <c r="E93" s="99" t="s">
        <v>20</v>
      </c>
      <c r="F93" s="99" t="s">
        <v>22</v>
      </c>
      <c r="G93" s="99" t="s">
        <v>24</v>
      </c>
      <c r="H93" s="99" t="s">
        <v>27</v>
      </c>
      <c r="I93" s="99" t="s">
        <v>28</v>
      </c>
      <c r="J93" s="99" t="s">
        <v>29</v>
      </c>
      <c r="K93" s="180" t="s">
        <v>46</v>
      </c>
    </row>
    <row r="94" spans="1:19" x14ac:dyDescent="0.3">
      <c r="A94" s="177" t="s">
        <v>203</v>
      </c>
      <c r="B94" s="99" t="s">
        <v>26</v>
      </c>
      <c r="C94" s="99" t="s">
        <v>18</v>
      </c>
      <c r="D94" s="99" t="s">
        <v>18</v>
      </c>
      <c r="E94" s="99" t="s">
        <v>20</v>
      </c>
      <c r="F94" s="99" t="s">
        <v>22</v>
      </c>
      <c r="G94" s="99" t="s">
        <v>24</v>
      </c>
      <c r="H94" s="99" t="s">
        <v>27</v>
      </c>
      <c r="I94" s="99" t="s">
        <v>28</v>
      </c>
      <c r="J94" s="99" t="s">
        <v>29</v>
      </c>
      <c r="K94" s="180" t="s">
        <v>46</v>
      </c>
      <c r="Q94" s="55"/>
      <c r="R94" s="3"/>
    </row>
    <row r="95" spans="1:19" x14ac:dyDescent="0.3">
      <c r="A95" s="177" t="s">
        <v>204</v>
      </c>
      <c r="B95" s="99" t="s">
        <v>26</v>
      </c>
      <c r="C95" s="99" t="s">
        <v>18</v>
      </c>
      <c r="D95" s="99" t="s">
        <v>18</v>
      </c>
      <c r="E95" s="99" t="s">
        <v>20</v>
      </c>
      <c r="F95" s="99" t="s">
        <v>22</v>
      </c>
      <c r="G95" s="99" t="s">
        <v>24</v>
      </c>
      <c r="H95" s="99" t="s">
        <v>27</v>
      </c>
      <c r="I95" s="99" t="s">
        <v>28</v>
      </c>
      <c r="J95" s="99" t="s">
        <v>29</v>
      </c>
      <c r="K95" s="180" t="s">
        <v>46</v>
      </c>
      <c r="Q95" s="55"/>
      <c r="R95" s="3"/>
    </row>
    <row r="96" spans="1:19" ht="43.2" x14ac:dyDescent="0.3">
      <c r="A96" s="177" t="s">
        <v>206</v>
      </c>
      <c r="B96" s="99" t="s">
        <v>20</v>
      </c>
      <c r="C96" s="99" t="s">
        <v>28</v>
      </c>
      <c r="D96" s="99" t="s">
        <v>28</v>
      </c>
      <c r="E96" s="99" t="s">
        <v>45</v>
      </c>
      <c r="F96" s="99" t="s">
        <v>45</v>
      </c>
      <c r="G96" s="99" t="s">
        <v>26</v>
      </c>
      <c r="H96" s="99" t="s">
        <v>26</v>
      </c>
      <c r="I96" s="99" t="s">
        <v>29</v>
      </c>
      <c r="J96" s="99" t="s">
        <v>27</v>
      </c>
      <c r="K96" s="99" t="s">
        <v>46</v>
      </c>
    </row>
    <row r="97" spans="17:18" x14ac:dyDescent="0.3">
      <c r="Q97" s="55"/>
      <c r="R97" s="3"/>
    </row>
  </sheetData>
  <mergeCells count="82">
    <mergeCell ref="B88:K88"/>
    <mergeCell ref="A2:A11"/>
    <mergeCell ref="B2:B11"/>
    <mergeCell ref="K2:K11"/>
    <mergeCell ref="L2:L11"/>
    <mergeCell ref="A24:A33"/>
    <mergeCell ref="B24:B33"/>
    <mergeCell ref="K24:K33"/>
    <mergeCell ref="L24:L33"/>
    <mergeCell ref="L13:L22"/>
    <mergeCell ref="K13:K22"/>
    <mergeCell ref="B13:B22"/>
    <mergeCell ref="A13:A22"/>
    <mergeCell ref="A35:A44"/>
    <mergeCell ref="B35:B44"/>
    <mergeCell ref="K35:K44"/>
    <mergeCell ref="L35:L44"/>
    <mergeCell ref="A46:A55"/>
    <mergeCell ref="B46:B55"/>
    <mergeCell ref="K46:K55"/>
    <mergeCell ref="L46:L55"/>
    <mergeCell ref="A57:A66"/>
    <mergeCell ref="B57:B66"/>
    <mergeCell ref="K57:K66"/>
    <mergeCell ref="L57:L66"/>
    <mergeCell ref="A68:B68"/>
    <mergeCell ref="C68:I68"/>
    <mergeCell ref="K68:L68"/>
    <mergeCell ref="M68:S68"/>
    <mergeCell ref="A69:B69"/>
    <mergeCell ref="C69:I69"/>
    <mergeCell ref="K69:L69"/>
    <mergeCell ref="M69:S69"/>
    <mergeCell ref="A70:B70"/>
    <mergeCell ref="C70:I70"/>
    <mergeCell ref="K70:L70"/>
    <mergeCell ref="M70:S70"/>
    <mergeCell ref="A71:B71"/>
    <mergeCell ref="C71:I71"/>
    <mergeCell ref="K71:L71"/>
    <mergeCell ref="M71:S71"/>
    <mergeCell ref="A72:B72"/>
    <mergeCell ref="C72:I72"/>
    <mergeCell ref="K72:L72"/>
    <mergeCell ref="M72:S72"/>
    <mergeCell ref="A73:B73"/>
    <mergeCell ref="C73:I73"/>
    <mergeCell ref="K73:L73"/>
    <mergeCell ref="M73:S73"/>
    <mergeCell ref="K74:L74"/>
    <mergeCell ref="M74:S74"/>
    <mergeCell ref="A75:B75"/>
    <mergeCell ref="C75:I75"/>
    <mergeCell ref="K75:L75"/>
    <mergeCell ref="M75:S75"/>
    <mergeCell ref="A74:B74"/>
    <mergeCell ref="C74:I74"/>
    <mergeCell ref="M76:S76"/>
    <mergeCell ref="A77:B77"/>
    <mergeCell ref="C77:I77"/>
    <mergeCell ref="K77:L77"/>
    <mergeCell ref="M77:S77"/>
    <mergeCell ref="A76:B76"/>
    <mergeCell ref="C76:I76"/>
    <mergeCell ref="K76:L76"/>
    <mergeCell ref="A78:B78"/>
    <mergeCell ref="C78:I78"/>
    <mergeCell ref="K78:L78"/>
    <mergeCell ref="M78:S78"/>
    <mergeCell ref="A79:B79"/>
    <mergeCell ref="C79:I79"/>
    <mergeCell ref="K79:L79"/>
    <mergeCell ref="M79:S79"/>
    <mergeCell ref="K80:L80"/>
    <mergeCell ref="A85:B85"/>
    <mergeCell ref="M80:S80"/>
    <mergeCell ref="A81:I81"/>
    <mergeCell ref="K81:S81"/>
    <mergeCell ref="A83:B83"/>
    <mergeCell ref="C83:L83"/>
    <mergeCell ref="A80:B80"/>
    <mergeCell ref="C80:I8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27D56-FC50-4A47-9AF9-C946A2AFB230}">
  <dimension ref="A1:X80"/>
  <sheetViews>
    <sheetView zoomScale="70" zoomScaleNormal="70" workbookViewId="0">
      <selection activeCell="B29" sqref="B29:K32"/>
    </sheetView>
  </sheetViews>
  <sheetFormatPr defaultColWidth="8.77734375" defaultRowHeight="14.4" x14ac:dyDescent="0.3"/>
  <cols>
    <col min="1" max="1" width="62.88671875" style="3" customWidth="1"/>
    <col min="2" max="2" width="15.109375" style="3" customWidth="1"/>
    <col min="3" max="3" width="13.109375" style="3" customWidth="1"/>
    <col min="4" max="4" width="13.5546875" style="3" customWidth="1"/>
    <col min="5" max="5" width="18.109375" style="3" customWidth="1"/>
    <col min="6" max="6" width="18.109375" style="3" bestFit="1" customWidth="1"/>
    <col min="7" max="7" width="8.77734375" style="3" customWidth="1"/>
    <col min="8" max="11" width="8.77734375" style="3"/>
    <col min="12" max="12" width="3.5546875" style="3" customWidth="1"/>
    <col min="13" max="13" width="44.5546875" style="3" bestFit="1" customWidth="1"/>
    <col min="14" max="14" width="19.6640625" style="3" customWidth="1"/>
    <col min="15" max="15" width="19.5546875" style="3" customWidth="1"/>
    <col min="16" max="16" width="14.6640625" style="3" customWidth="1"/>
    <col min="17" max="17" width="8.77734375" style="3"/>
    <col min="18" max="18" width="21.21875" style="3" bestFit="1" customWidth="1"/>
    <col min="19" max="19" width="12.109375" style="3" customWidth="1"/>
    <col min="20" max="20" width="19.33203125" style="3" customWidth="1"/>
    <col min="21" max="21" width="13.5546875" style="3" customWidth="1"/>
    <col min="22" max="23" width="8.77734375" style="3"/>
    <col min="24" max="24" width="3.88671875" style="3" customWidth="1"/>
    <col min="25" max="16384" width="8.77734375" style="3"/>
  </cols>
  <sheetData>
    <row r="1" spans="1:24" ht="18.600000000000001" thickBot="1" x14ac:dyDescent="0.4">
      <c r="A1" s="267" t="s">
        <v>146</v>
      </c>
      <c r="B1" s="268"/>
      <c r="C1" s="268"/>
      <c r="D1" s="268"/>
      <c r="E1" s="269"/>
      <c r="L1" s="90"/>
      <c r="M1" s="267" t="s">
        <v>147</v>
      </c>
      <c r="N1" s="268"/>
      <c r="O1" s="269"/>
      <c r="X1" s="90"/>
    </row>
    <row r="2" spans="1:24" ht="15" thickBot="1" x14ac:dyDescent="0.35">
      <c r="A2" s="276" t="s">
        <v>177</v>
      </c>
      <c r="B2" s="277"/>
      <c r="C2" s="277"/>
      <c r="D2" s="277"/>
      <c r="E2" s="278"/>
      <c r="L2" s="90"/>
      <c r="M2" s="270" t="s">
        <v>179</v>
      </c>
      <c r="N2" s="271"/>
      <c r="O2" s="272"/>
      <c r="X2" s="90"/>
    </row>
    <row r="3" spans="1:24" ht="15" thickBot="1" x14ac:dyDescent="0.35">
      <c r="A3" s="279" t="s">
        <v>178</v>
      </c>
      <c r="B3" s="274"/>
      <c r="C3" s="274"/>
      <c r="D3" s="274"/>
      <c r="E3" s="275"/>
      <c r="L3" s="90"/>
      <c r="M3" s="252" t="s">
        <v>176</v>
      </c>
      <c r="N3" s="253"/>
      <c r="O3" s="254"/>
      <c r="X3" s="90"/>
    </row>
    <row r="4" spans="1:24" x14ac:dyDescent="0.3">
      <c r="A4" s="273" t="s">
        <v>155</v>
      </c>
      <c r="B4" s="274"/>
      <c r="C4" s="274"/>
      <c r="D4" s="274"/>
      <c r="E4" s="275"/>
      <c r="L4" s="90"/>
      <c r="X4" s="90"/>
    </row>
    <row r="5" spans="1:24" x14ac:dyDescent="0.3">
      <c r="A5" s="273" t="s">
        <v>148</v>
      </c>
      <c r="B5" s="274"/>
      <c r="C5" s="274"/>
      <c r="D5" s="274"/>
      <c r="E5" s="275"/>
      <c r="L5" s="90"/>
      <c r="X5" s="90"/>
    </row>
    <row r="6" spans="1:24" x14ac:dyDescent="0.3">
      <c r="A6" s="279" t="s">
        <v>156</v>
      </c>
      <c r="B6" s="274"/>
      <c r="C6" s="274"/>
      <c r="D6" s="274"/>
      <c r="E6" s="275"/>
      <c r="L6" s="90"/>
      <c r="X6" s="90"/>
    </row>
    <row r="7" spans="1:24" x14ac:dyDescent="0.3">
      <c r="A7" s="273" t="s">
        <v>149</v>
      </c>
      <c r="B7" s="274"/>
      <c r="C7" s="274"/>
      <c r="D7" s="274"/>
      <c r="E7" s="275"/>
      <c r="L7" s="90"/>
      <c r="X7" s="90"/>
    </row>
    <row r="8" spans="1:24" x14ac:dyDescent="0.3">
      <c r="A8" s="279" t="s">
        <v>150</v>
      </c>
      <c r="B8" s="274"/>
      <c r="C8" s="274"/>
      <c r="D8" s="274"/>
      <c r="E8" s="275"/>
      <c r="L8" s="90"/>
      <c r="X8" s="90"/>
    </row>
    <row r="9" spans="1:24" x14ac:dyDescent="0.3">
      <c r="A9" s="279" t="s">
        <v>151</v>
      </c>
      <c r="B9" s="274"/>
      <c r="C9" s="274"/>
      <c r="D9" s="274"/>
      <c r="E9" s="275"/>
      <c r="L9" s="90"/>
      <c r="X9" s="90"/>
    </row>
    <row r="10" spans="1:24" x14ac:dyDescent="0.3">
      <c r="A10" s="279" t="s">
        <v>152</v>
      </c>
      <c r="B10" s="274"/>
      <c r="C10" s="274"/>
      <c r="D10" s="274"/>
      <c r="E10" s="275"/>
      <c r="L10" s="90"/>
      <c r="X10" s="90"/>
    </row>
    <row r="11" spans="1:24" x14ac:dyDescent="0.3">
      <c r="A11" s="273" t="s">
        <v>166</v>
      </c>
      <c r="B11" s="274"/>
      <c r="C11" s="274"/>
      <c r="D11" s="274"/>
      <c r="E11" s="275"/>
      <c r="L11" s="90"/>
      <c r="X11" s="90"/>
    </row>
    <row r="12" spans="1:24" ht="15" hidden="1" thickBot="1" x14ac:dyDescent="0.35">
      <c r="A12" s="249" t="s">
        <v>176</v>
      </c>
      <c r="B12" s="250"/>
      <c r="C12" s="250"/>
      <c r="D12" s="250"/>
      <c r="E12" s="251"/>
      <c r="L12" s="90"/>
      <c r="X12" s="90"/>
    </row>
    <row r="13" spans="1:24" ht="15" thickBot="1" x14ac:dyDescent="0.35">
      <c r="L13" s="90"/>
      <c r="X13" s="90"/>
    </row>
    <row r="14" spans="1:24" ht="20.399999999999999" thickBot="1" x14ac:dyDescent="0.45">
      <c r="A14" s="255" t="s">
        <v>160</v>
      </c>
      <c r="B14" s="256"/>
      <c r="C14" s="256"/>
      <c r="D14" s="257"/>
      <c r="L14" s="90"/>
      <c r="M14" s="255" t="s">
        <v>181</v>
      </c>
      <c r="N14" s="256"/>
      <c r="O14" s="256"/>
      <c r="P14" s="257"/>
      <c r="Q14"/>
      <c r="R14" s="255" t="s">
        <v>180</v>
      </c>
      <c r="S14" s="256"/>
      <c r="T14" s="256"/>
      <c r="U14" s="257"/>
      <c r="X14" s="90"/>
    </row>
    <row r="15" spans="1:24" ht="15" thickBot="1" x14ac:dyDescent="0.35">
      <c r="A15" s="21" t="s">
        <v>44</v>
      </c>
      <c r="B15" s="22" t="s">
        <v>12</v>
      </c>
      <c r="C15" s="21" t="s">
        <v>13</v>
      </c>
      <c r="D15" s="23" t="s">
        <v>14</v>
      </c>
      <c r="L15" s="90"/>
      <c r="M15" s="21" t="s">
        <v>44</v>
      </c>
      <c r="N15" s="22" t="s">
        <v>12</v>
      </c>
      <c r="O15" s="21" t="s">
        <v>13</v>
      </c>
      <c r="P15" s="23" t="s">
        <v>14</v>
      </c>
      <c r="Q15"/>
      <c r="R15" s="21" t="s">
        <v>44</v>
      </c>
      <c r="S15" s="22" t="s">
        <v>12</v>
      </c>
      <c r="T15" s="21" t="s">
        <v>13</v>
      </c>
      <c r="U15" s="23" t="s">
        <v>14</v>
      </c>
      <c r="X15" s="90"/>
    </row>
    <row r="16" spans="1:24" x14ac:dyDescent="0.3">
      <c r="A16" s="259" t="s">
        <v>25</v>
      </c>
      <c r="B16" s="5" t="s">
        <v>16</v>
      </c>
      <c r="C16" s="11" t="s">
        <v>10</v>
      </c>
      <c r="D16" s="8" t="s">
        <v>15</v>
      </c>
      <c r="L16" s="90"/>
      <c r="M16" s="259" t="s">
        <v>25</v>
      </c>
      <c r="N16" s="5" t="s">
        <v>16</v>
      </c>
      <c r="O16" s="11" t="s">
        <v>10</v>
      </c>
      <c r="P16" s="8" t="s">
        <v>15</v>
      </c>
      <c r="Q16"/>
      <c r="R16" s="258" t="s">
        <v>193</v>
      </c>
      <c r="S16" s="5" t="s">
        <v>16</v>
      </c>
      <c r="T16" s="150" t="s">
        <v>10</v>
      </c>
      <c r="U16" s="8" t="str">
        <f>S16</f>
        <v>O</v>
      </c>
      <c r="X16" s="90"/>
    </row>
    <row r="17" spans="1:24" x14ac:dyDescent="0.3">
      <c r="A17" s="259"/>
      <c r="B17" s="6" t="s">
        <v>26</v>
      </c>
      <c r="C17" s="12" t="s">
        <v>10</v>
      </c>
      <c r="D17" s="9" t="s">
        <v>15</v>
      </c>
      <c r="L17" s="90"/>
      <c r="M17" s="259"/>
      <c r="N17" s="6" t="s">
        <v>26</v>
      </c>
      <c r="O17" s="12" t="s">
        <v>10</v>
      </c>
      <c r="P17" s="9" t="s">
        <v>15</v>
      </c>
      <c r="Q17"/>
      <c r="R17" s="259"/>
      <c r="S17" s="6" t="s">
        <v>26</v>
      </c>
      <c r="T17" s="12" t="s">
        <v>16</v>
      </c>
      <c r="U17" s="9" t="str">
        <f>S17</f>
        <v>Q</v>
      </c>
      <c r="X17" s="90"/>
    </row>
    <row r="18" spans="1:24" x14ac:dyDescent="0.3">
      <c r="A18" s="259"/>
      <c r="B18" s="6" t="s">
        <v>18</v>
      </c>
      <c r="C18" s="12" t="s">
        <v>15</v>
      </c>
      <c r="D18" s="9" t="s">
        <v>17</v>
      </c>
      <c r="L18" s="90"/>
      <c r="M18" s="259"/>
      <c r="N18" s="6" t="s">
        <v>18</v>
      </c>
      <c r="O18" s="12" t="s">
        <v>15</v>
      </c>
      <c r="P18" s="9" t="s">
        <v>17</v>
      </c>
      <c r="Q18"/>
      <c r="R18" s="259"/>
      <c r="S18" s="6" t="s">
        <v>18</v>
      </c>
      <c r="T18" s="12" t="s">
        <v>182</v>
      </c>
      <c r="U18" s="9" t="str">
        <f t="shared" ref="U18:U24" si="0">S18</f>
        <v>N</v>
      </c>
      <c r="X18" s="90"/>
    </row>
    <row r="19" spans="1:24" x14ac:dyDescent="0.3">
      <c r="A19" s="259"/>
      <c r="B19" s="6" t="s">
        <v>20</v>
      </c>
      <c r="C19" s="12" t="s">
        <v>15</v>
      </c>
      <c r="D19" s="9" t="s">
        <v>17</v>
      </c>
      <c r="L19" s="90"/>
      <c r="M19" s="259"/>
      <c r="N19" s="6" t="s">
        <v>20</v>
      </c>
      <c r="O19" s="12" t="s">
        <v>15</v>
      </c>
      <c r="P19" s="9" t="s">
        <v>17</v>
      </c>
      <c r="Q19"/>
      <c r="R19" s="259"/>
      <c r="S19" s="6" t="s">
        <v>20</v>
      </c>
      <c r="T19" s="12" t="s">
        <v>183</v>
      </c>
      <c r="U19" s="9" t="str">
        <f t="shared" si="0"/>
        <v>S</v>
      </c>
      <c r="X19" s="90"/>
    </row>
    <row r="20" spans="1:24" x14ac:dyDescent="0.3">
      <c r="A20" s="259"/>
      <c r="B20" s="6" t="s">
        <v>22</v>
      </c>
      <c r="C20" s="12" t="s">
        <v>157</v>
      </c>
      <c r="D20" s="9" t="s">
        <v>19</v>
      </c>
      <c r="L20" s="90"/>
      <c r="M20" s="259"/>
      <c r="N20" s="6" t="s">
        <v>22</v>
      </c>
      <c r="O20" s="12" t="s">
        <v>157</v>
      </c>
      <c r="P20" s="9" t="s">
        <v>19</v>
      </c>
      <c r="Q20"/>
      <c r="R20" s="259"/>
      <c r="S20" s="6" t="s">
        <v>22</v>
      </c>
      <c r="T20" s="12" t="s">
        <v>184</v>
      </c>
      <c r="U20" s="9" t="str">
        <f t="shared" si="0"/>
        <v>V</v>
      </c>
      <c r="X20" s="90"/>
    </row>
    <row r="21" spans="1:24" x14ac:dyDescent="0.3">
      <c r="A21" s="259"/>
      <c r="B21" s="6" t="s">
        <v>24</v>
      </c>
      <c r="C21" s="12" t="s">
        <v>157</v>
      </c>
      <c r="D21" s="9" t="s">
        <v>19</v>
      </c>
      <c r="L21" s="90"/>
      <c r="M21" s="259"/>
      <c r="N21" s="6" t="s">
        <v>24</v>
      </c>
      <c r="O21" s="12" t="s">
        <v>157</v>
      </c>
      <c r="P21" s="9" t="s">
        <v>19</v>
      </c>
      <c r="Q21"/>
      <c r="R21" s="259"/>
      <c r="S21" s="6" t="s">
        <v>24</v>
      </c>
      <c r="T21" s="12" t="s">
        <v>185</v>
      </c>
      <c r="U21" s="9" t="str">
        <f t="shared" si="0"/>
        <v>L</v>
      </c>
      <c r="X21" s="90"/>
    </row>
    <row r="22" spans="1:24" x14ac:dyDescent="0.3">
      <c r="A22" s="259"/>
      <c r="B22" s="6" t="s">
        <v>27</v>
      </c>
      <c r="C22" s="12" t="s">
        <v>158</v>
      </c>
      <c r="D22" s="9" t="s">
        <v>21</v>
      </c>
      <c r="L22" s="90"/>
      <c r="M22" s="259"/>
      <c r="N22" s="6" t="s">
        <v>27</v>
      </c>
      <c r="O22" s="12" t="s">
        <v>158</v>
      </c>
      <c r="P22" s="9" t="s">
        <v>21</v>
      </c>
      <c r="Q22"/>
      <c r="R22" s="259"/>
      <c r="S22" s="6" t="s">
        <v>27</v>
      </c>
      <c r="T22" s="12" t="s">
        <v>186</v>
      </c>
      <c r="U22" s="9" t="str">
        <f t="shared" si="0"/>
        <v>M</v>
      </c>
      <c r="X22" s="90"/>
    </row>
    <row r="23" spans="1:24" x14ac:dyDescent="0.3">
      <c r="A23" s="259"/>
      <c r="B23" s="6" t="s">
        <v>28</v>
      </c>
      <c r="C23" s="12" t="s">
        <v>158</v>
      </c>
      <c r="D23" s="9" t="s">
        <v>21</v>
      </c>
      <c r="L23" s="90"/>
      <c r="M23" s="259"/>
      <c r="N23" s="6" t="s">
        <v>28</v>
      </c>
      <c r="O23" s="12" t="s">
        <v>158</v>
      </c>
      <c r="P23" s="9" t="s">
        <v>21</v>
      </c>
      <c r="Q23"/>
      <c r="R23" s="259"/>
      <c r="S23" s="6" t="s">
        <v>28</v>
      </c>
      <c r="T23" s="12" t="s">
        <v>187</v>
      </c>
      <c r="U23" s="9" t="str">
        <f t="shared" si="0"/>
        <v>K</v>
      </c>
      <c r="X23" s="90"/>
    </row>
    <row r="24" spans="1:24" x14ac:dyDescent="0.3">
      <c r="A24" s="259"/>
      <c r="B24" s="6" t="s">
        <v>29</v>
      </c>
      <c r="C24" s="12" t="s">
        <v>159</v>
      </c>
      <c r="D24" s="9" t="s">
        <v>23</v>
      </c>
      <c r="L24" s="90"/>
      <c r="M24" s="259"/>
      <c r="N24" s="6" t="s">
        <v>29</v>
      </c>
      <c r="O24" s="12" t="s">
        <v>159</v>
      </c>
      <c r="P24" s="9" t="s">
        <v>23</v>
      </c>
      <c r="Q24"/>
      <c r="R24" s="259"/>
      <c r="S24" s="6" t="s">
        <v>29</v>
      </c>
      <c r="T24" s="12" t="s">
        <v>188</v>
      </c>
      <c r="U24" s="9" t="str">
        <f t="shared" si="0"/>
        <v>H</v>
      </c>
      <c r="X24" s="90"/>
    </row>
    <row r="25" spans="1:24" ht="15" thickBot="1" x14ac:dyDescent="0.35">
      <c r="A25" s="260"/>
      <c r="B25" s="7" t="s">
        <v>46</v>
      </c>
      <c r="C25" s="13" t="s">
        <v>159</v>
      </c>
      <c r="D25" s="10" t="s">
        <v>23</v>
      </c>
      <c r="L25" s="90"/>
      <c r="M25" s="260"/>
      <c r="N25" s="7" t="s">
        <v>46</v>
      </c>
      <c r="O25" s="13" t="s">
        <v>159</v>
      </c>
      <c r="P25" s="10" t="s">
        <v>23</v>
      </c>
      <c r="Q25"/>
      <c r="R25" s="260"/>
      <c r="S25" s="7" t="s">
        <v>46</v>
      </c>
      <c r="T25" s="13" t="s">
        <v>189</v>
      </c>
      <c r="U25" s="10" t="str">
        <f>S25</f>
        <v>B</v>
      </c>
      <c r="X25" s="90"/>
    </row>
    <row r="26" spans="1:24" ht="15" thickBot="1" x14ac:dyDescent="0.35">
      <c r="L26" s="90"/>
      <c r="X26" s="90"/>
    </row>
    <row r="27" spans="1:24" ht="18.600000000000001" thickBot="1" x14ac:dyDescent="0.4">
      <c r="A27" s="261" t="s">
        <v>161</v>
      </c>
      <c r="B27" s="262"/>
      <c r="C27" s="262"/>
      <c r="D27" s="262"/>
      <c r="E27" s="262"/>
      <c r="F27" s="262"/>
      <c r="G27" s="262"/>
      <c r="H27" s="262"/>
      <c r="I27" s="262"/>
      <c r="J27" s="262"/>
      <c r="K27" s="263"/>
      <c r="L27" s="90"/>
      <c r="M27" s="261" t="s">
        <v>161</v>
      </c>
      <c r="N27" s="262"/>
      <c r="O27" s="262"/>
      <c r="P27" s="262"/>
      <c r="Q27" s="262"/>
      <c r="R27" s="262"/>
      <c r="S27" s="262"/>
      <c r="T27" s="262"/>
      <c r="U27" s="262"/>
      <c r="V27" s="262"/>
      <c r="W27" s="263"/>
      <c r="X27" s="90"/>
    </row>
    <row r="28" spans="1:24" ht="15" thickBot="1" x14ac:dyDescent="0.35">
      <c r="A28" s="20" t="s">
        <v>30</v>
      </c>
      <c r="B28" s="16" t="s">
        <v>34</v>
      </c>
      <c r="C28" s="14" t="s">
        <v>35</v>
      </c>
      <c r="D28" s="14" t="s">
        <v>36</v>
      </c>
      <c r="E28" s="14" t="s">
        <v>37</v>
      </c>
      <c r="F28" s="14" t="s">
        <v>38</v>
      </c>
      <c r="G28" s="14" t="s">
        <v>39</v>
      </c>
      <c r="H28" s="14" t="s">
        <v>40</v>
      </c>
      <c r="I28" s="14" t="s">
        <v>41</v>
      </c>
      <c r="J28" s="14" t="s">
        <v>42</v>
      </c>
      <c r="K28" s="15" t="s">
        <v>134</v>
      </c>
      <c r="L28" s="90"/>
      <c r="M28" s="20" t="s">
        <v>30</v>
      </c>
      <c r="N28" s="16" t="s">
        <v>34</v>
      </c>
      <c r="O28" s="14" t="s">
        <v>35</v>
      </c>
      <c r="P28" s="14" t="s">
        <v>36</v>
      </c>
      <c r="Q28" s="14" t="s">
        <v>37</v>
      </c>
      <c r="R28" s="14" t="s">
        <v>38</v>
      </c>
      <c r="S28" s="14" t="s">
        <v>39</v>
      </c>
      <c r="T28" s="14" t="s">
        <v>40</v>
      </c>
      <c r="U28" s="14" t="s">
        <v>41</v>
      </c>
      <c r="V28" s="14" t="s">
        <v>42</v>
      </c>
      <c r="W28" s="15" t="s">
        <v>134</v>
      </c>
      <c r="X28" s="90"/>
    </row>
    <row r="29" spans="1:24" x14ac:dyDescent="0.3">
      <c r="A29" s="24" t="s">
        <v>31</v>
      </c>
      <c r="B29" s="171">
        <v>1000</v>
      </c>
      <c r="C29" s="172">
        <f>B29+70</f>
        <v>1070</v>
      </c>
      <c r="D29" s="172">
        <f>C29+125</f>
        <v>1195</v>
      </c>
      <c r="E29" s="172">
        <f>D29+100</f>
        <v>1295</v>
      </c>
      <c r="F29" s="172">
        <f>E29+100</f>
        <v>1395</v>
      </c>
      <c r="G29" s="172">
        <f>F29+125</f>
        <v>1520</v>
      </c>
      <c r="H29" s="172">
        <f>G29+100</f>
        <v>1620</v>
      </c>
      <c r="I29" s="172">
        <f>H29+100</f>
        <v>1720</v>
      </c>
      <c r="J29" s="172">
        <f>I29+100</f>
        <v>1820</v>
      </c>
      <c r="K29" s="172">
        <f>J29+100</f>
        <v>1920</v>
      </c>
      <c r="L29" s="90"/>
      <c r="M29" s="24" t="s">
        <v>31</v>
      </c>
      <c r="N29" s="171">
        <v>1000</v>
      </c>
      <c r="O29" s="172">
        <f>N29+70</f>
        <v>1070</v>
      </c>
      <c r="P29" s="172">
        <f>O29+125</f>
        <v>1195</v>
      </c>
      <c r="Q29" s="172">
        <f>P29+100</f>
        <v>1295</v>
      </c>
      <c r="R29" s="172">
        <f>Q29+100</f>
        <v>1395</v>
      </c>
      <c r="S29" s="172">
        <f>R29+125</f>
        <v>1520</v>
      </c>
      <c r="T29" s="172">
        <f>S29+100</f>
        <v>1620</v>
      </c>
      <c r="U29" s="172">
        <f>T29+100</f>
        <v>1720</v>
      </c>
      <c r="V29" s="172">
        <f>U29+100</f>
        <v>1820</v>
      </c>
      <c r="W29" s="172">
        <f>V29+100</f>
        <v>1920</v>
      </c>
      <c r="X29" s="90"/>
    </row>
    <row r="30" spans="1:24" x14ac:dyDescent="0.3">
      <c r="A30" s="25" t="s">
        <v>43</v>
      </c>
      <c r="B30" s="173">
        <v>1100</v>
      </c>
      <c r="C30" s="119">
        <f>B30+70</f>
        <v>1170</v>
      </c>
      <c r="D30" s="119">
        <f t="shared" ref="D30:D31" si="1">C30+125</f>
        <v>1295</v>
      </c>
      <c r="E30" s="119">
        <f t="shared" ref="E30:F32" si="2">D30+100</f>
        <v>1395</v>
      </c>
      <c r="F30" s="119">
        <f t="shared" si="2"/>
        <v>1495</v>
      </c>
      <c r="G30" s="119">
        <f t="shared" ref="G30:G32" si="3">F30+125</f>
        <v>1620</v>
      </c>
      <c r="H30" s="119">
        <f t="shared" ref="H30:K32" si="4">G30+100</f>
        <v>1720</v>
      </c>
      <c r="I30" s="119">
        <f t="shared" si="4"/>
        <v>1820</v>
      </c>
      <c r="J30" s="119">
        <f t="shared" si="4"/>
        <v>1920</v>
      </c>
      <c r="K30" s="119">
        <f t="shared" si="4"/>
        <v>2020</v>
      </c>
      <c r="L30" s="90"/>
      <c r="M30" s="25" t="s">
        <v>43</v>
      </c>
      <c r="N30" s="173">
        <v>1100</v>
      </c>
      <c r="O30" s="119">
        <f>N30+70</f>
        <v>1170</v>
      </c>
      <c r="P30" s="119">
        <f t="shared" ref="P30:P31" si="5">O30+125</f>
        <v>1295</v>
      </c>
      <c r="Q30" s="119">
        <f t="shared" ref="Q30:Q31" si="6">P30+100</f>
        <v>1395</v>
      </c>
      <c r="R30" s="119">
        <f t="shared" ref="R30:R32" si="7">Q30+100</f>
        <v>1495</v>
      </c>
      <c r="S30" s="119">
        <f t="shared" ref="S30:S32" si="8">R30+125</f>
        <v>1620</v>
      </c>
      <c r="T30" s="119">
        <f t="shared" ref="T30:T32" si="9">S30+100</f>
        <v>1720</v>
      </c>
      <c r="U30" s="119">
        <f t="shared" ref="U30:U32" si="10">T30+100</f>
        <v>1820</v>
      </c>
      <c r="V30" s="119">
        <f t="shared" ref="V30:V32" si="11">U30+100</f>
        <v>1920</v>
      </c>
      <c r="W30" s="119">
        <f t="shared" ref="W30:W32" si="12">V30+100</f>
        <v>2020</v>
      </c>
      <c r="X30" s="90"/>
    </row>
    <row r="31" spans="1:24" x14ac:dyDescent="0.3">
      <c r="A31" s="25" t="s">
        <v>32</v>
      </c>
      <c r="B31" s="173">
        <v>930</v>
      </c>
      <c r="C31" s="119">
        <f>B31+70</f>
        <v>1000</v>
      </c>
      <c r="D31" s="119">
        <f t="shared" si="1"/>
        <v>1125</v>
      </c>
      <c r="E31" s="119">
        <f t="shared" si="2"/>
        <v>1225</v>
      </c>
      <c r="F31" s="119">
        <f t="shared" si="2"/>
        <v>1325</v>
      </c>
      <c r="G31" s="119">
        <f t="shared" si="3"/>
        <v>1450</v>
      </c>
      <c r="H31" s="119">
        <f t="shared" si="4"/>
        <v>1550</v>
      </c>
      <c r="I31" s="119">
        <f t="shared" si="4"/>
        <v>1650</v>
      </c>
      <c r="J31" s="119">
        <f t="shared" si="4"/>
        <v>1750</v>
      </c>
      <c r="K31" s="119">
        <f t="shared" si="4"/>
        <v>1850</v>
      </c>
      <c r="L31" s="90"/>
      <c r="M31" s="25" t="s">
        <v>32</v>
      </c>
      <c r="N31" s="173">
        <v>930</v>
      </c>
      <c r="O31" s="119">
        <f>N31+70</f>
        <v>1000</v>
      </c>
      <c r="P31" s="119">
        <f t="shared" si="5"/>
        <v>1125</v>
      </c>
      <c r="Q31" s="119">
        <f t="shared" si="6"/>
        <v>1225</v>
      </c>
      <c r="R31" s="119">
        <f t="shared" si="7"/>
        <v>1325</v>
      </c>
      <c r="S31" s="119">
        <f t="shared" si="8"/>
        <v>1450</v>
      </c>
      <c r="T31" s="119">
        <f t="shared" si="9"/>
        <v>1550</v>
      </c>
      <c r="U31" s="119">
        <f t="shared" si="10"/>
        <v>1650</v>
      </c>
      <c r="V31" s="119">
        <f t="shared" si="11"/>
        <v>1750</v>
      </c>
      <c r="W31" s="119">
        <f t="shared" si="12"/>
        <v>1850</v>
      </c>
      <c r="X31" s="90"/>
    </row>
    <row r="32" spans="1:24" ht="15" thickBot="1" x14ac:dyDescent="0.35">
      <c r="A32" s="26" t="s">
        <v>33</v>
      </c>
      <c r="B32" s="175">
        <v>1200</v>
      </c>
      <c r="C32" s="174">
        <f>B32+70</f>
        <v>1270</v>
      </c>
      <c r="D32" s="174">
        <f>C32+125</f>
        <v>1395</v>
      </c>
      <c r="E32" s="174">
        <f>D32+100</f>
        <v>1495</v>
      </c>
      <c r="F32" s="174">
        <f t="shared" si="2"/>
        <v>1595</v>
      </c>
      <c r="G32" s="174">
        <f t="shared" si="3"/>
        <v>1720</v>
      </c>
      <c r="H32" s="174">
        <f t="shared" si="4"/>
        <v>1820</v>
      </c>
      <c r="I32" s="174">
        <f t="shared" si="4"/>
        <v>1920</v>
      </c>
      <c r="J32" s="174">
        <f t="shared" si="4"/>
        <v>2020</v>
      </c>
      <c r="K32" s="174">
        <f t="shared" si="4"/>
        <v>2120</v>
      </c>
      <c r="L32" s="90"/>
      <c r="M32" s="26" t="s">
        <v>33</v>
      </c>
      <c r="N32" s="175">
        <v>1200</v>
      </c>
      <c r="O32" s="174">
        <f>N32+70</f>
        <v>1270</v>
      </c>
      <c r="P32" s="174">
        <f>O32+125</f>
        <v>1395</v>
      </c>
      <c r="Q32" s="174">
        <f>P32+100</f>
        <v>1495</v>
      </c>
      <c r="R32" s="174">
        <f t="shared" si="7"/>
        <v>1595</v>
      </c>
      <c r="S32" s="174">
        <f t="shared" si="8"/>
        <v>1720</v>
      </c>
      <c r="T32" s="174">
        <f t="shared" si="9"/>
        <v>1820</v>
      </c>
      <c r="U32" s="174">
        <f t="shared" si="10"/>
        <v>1920</v>
      </c>
      <c r="V32" s="174">
        <f t="shared" si="11"/>
        <v>2020</v>
      </c>
      <c r="W32" s="174">
        <f t="shared" si="12"/>
        <v>2120</v>
      </c>
      <c r="X32" s="90"/>
    </row>
    <row r="33" spans="1:24" x14ac:dyDescent="0.3">
      <c r="L33" s="90"/>
      <c r="X33" s="90"/>
    </row>
    <row r="34" spans="1:24" x14ac:dyDescent="0.3">
      <c r="A34" s="90"/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</row>
    <row r="35" spans="1:24" ht="15" hidden="1" thickBot="1" x14ac:dyDescent="0.35">
      <c r="A35" s="264" t="s">
        <v>162</v>
      </c>
      <c r="B35" s="265"/>
      <c r="C35" s="265"/>
      <c r="D35" s="265"/>
      <c r="E35" s="265"/>
      <c r="F35" s="265"/>
      <c r="G35" s="265"/>
      <c r="H35" s="265"/>
      <c r="I35" s="265"/>
      <c r="J35" s="265"/>
      <c r="K35" s="266"/>
    </row>
    <row r="36" spans="1:24" ht="15" hidden="1" thickBot="1" x14ac:dyDescent="0.35">
      <c r="A36" s="82" t="s">
        <v>135</v>
      </c>
      <c r="B36" s="16" t="s">
        <v>34</v>
      </c>
      <c r="C36" s="14" t="s">
        <v>35</v>
      </c>
      <c r="D36" s="14" t="s">
        <v>36</v>
      </c>
      <c r="E36" s="14" t="s">
        <v>37</v>
      </c>
      <c r="F36" s="14" t="s">
        <v>38</v>
      </c>
      <c r="G36" s="14" t="s">
        <v>39</v>
      </c>
      <c r="H36" s="14" t="s">
        <v>40</v>
      </c>
      <c r="I36" s="14" t="s">
        <v>41</v>
      </c>
      <c r="J36" s="14" t="s">
        <v>42</v>
      </c>
      <c r="K36" s="15" t="s">
        <v>134</v>
      </c>
    </row>
    <row r="37" spans="1:24" hidden="1" x14ac:dyDescent="0.3">
      <c r="A37" s="81" t="s">
        <v>31</v>
      </c>
      <c r="B37" s="100">
        <f>SUM(B29*2)+1898</f>
        <v>3898</v>
      </c>
      <c r="C37" s="17">
        <f>SUM(C29*2)+2218</f>
        <v>4358</v>
      </c>
      <c r="D37" s="17">
        <f>SUM(D29*2)+2302</f>
        <v>4692</v>
      </c>
      <c r="E37" s="17">
        <f>SUM(E29*2)+2478</f>
        <v>5068</v>
      </c>
      <c r="F37" s="17">
        <f>SUM(F29*2)+2671</f>
        <v>5461</v>
      </c>
      <c r="G37" s="17">
        <f>SUM(G29*2)+2864</f>
        <v>5904</v>
      </c>
      <c r="H37" s="17">
        <f>SUM(H29*2)+3074</f>
        <v>6314</v>
      </c>
      <c r="I37" s="17">
        <f>SUM(I29*2)+3427</f>
        <v>6867</v>
      </c>
      <c r="J37" s="17">
        <f>SUM(J29*2)+3788</f>
        <v>7428</v>
      </c>
      <c r="K37" s="103">
        <f>SUM(K29*2)+4292</f>
        <v>8132</v>
      </c>
    </row>
    <row r="38" spans="1:24" hidden="1" x14ac:dyDescent="0.3">
      <c r="A38" s="25" t="s">
        <v>43</v>
      </c>
      <c r="B38" s="101">
        <f>SUM(B30*2)+1957</f>
        <v>4157</v>
      </c>
      <c r="C38" s="18">
        <f>SUM(C30*2)+2276</f>
        <v>4616</v>
      </c>
      <c r="D38" s="18">
        <f>SUM(D30*2)+2360</f>
        <v>4950</v>
      </c>
      <c r="E38" s="18">
        <f>SUM(E30*2)+2537</f>
        <v>5327</v>
      </c>
      <c r="F38" s="18">
        <f>SUM(F30*2)+2730</f>
        <v>5720</v>
      </c>
      <c r="G38" s="18">
        <f>SUM(G30*2)+2923</f>
        <v>6163</v>
      </c>
      <c r="H38" s="18">
        <f>SUM(H30*2)+3133</f>
        <v>6573</v>
      </c>
      <c r="I38" s="18">
        <f>SUM(I30*2)+3486</f>
        <v>7126</v>
      </c>
      <c r="J38" s="18">
        <f>SUM(J30*2)+3847</f>
        <v>7687</v>
      </c>
      <c r="K38" s="104">
        <f>SUM(K30*2)+4351</f>
        <v>8391</v>
      </c>
    </row>
    <row r="39" spans="1:24" hidden="1" x14ac:dyDescent="0.3">
      <c r="A39" s="25" t="s">
        <v>32</v>
      </c>
      <c r="B39" s="101">
        <f>SUM(B31*2)+1865</f>
        <v>3725</v>
      </c>
      <c r="C39" s="18">
        <f>SUM(C31*2)+2184</f>
        <v>4184</v>
      </c>
      <c r="D39" s="18">
        <f>SUM(D31*2)+2268</f>
        <v>4518</v>
      </c>
      <c r="E39" s="18">
        <f>SUM(E31*2)+2444</f>
        <v>4894</v>
      </c>
      <c r="F39" s="18">
        <f>SUM(F31*2)+2638</f>
        <v>5288</v>
      </c>
      <c r="G39" s="18">
        <f>SUM(G31*2)+2831</f>
        <v>5731</v>
      </c>
      <c r="H39" s="18">
        <f>SUM(H31*2)+3041</f>
        <v>6141</v>
      </c>
      <c r="I39" s="18">
        <f>SUM(I31*2)+3394</f>
        <v>6694</v>
      </c>
      <c r="J39" s="18">
        <f>SUM(J31*2)+3755</f>
        <v>7255</v>
      </c>
      <c r="K39" s="104">
        <f>SUM(K31*2)+4259</f>
        <v>7959</v>
      </c>
    </row>
    <row r="40" spans="1:24" ht="15" hidden="1" thickBot="1" x14ac:dyDescent="0.35">
      <c r="A40" s="26" t="s">
        <v>33</v>
      </c>
      <c r="B40" s="102">
        <f>SUM(B32*2)+1991</f>
        <v>4391</v>
      </c>
      <c r="C40" s="19">
        <f>SUM(C32*2)+2310</f>
        <v>4850</v>
      </c>
      <c r="D40" s="19">
        <f>SUM(D32*2)+2394</f>
        <v>5184</v>
      </c>
      <c r="E40" s="19">
        <f>SUM(E32*2)+2570</f>
        <v>5560</v>
      </c>
      <c r="F40" s="19">
        <f>SUM(F32*2)+2764</f>
        <v>5954</v>
      </c>
      <c r="G40" s="19">
        <f>SUM(G32*2)+2957</f>
        <v>6397</v>
      </c>
      <c r="H40" s="19">
        <f>SUM(H32*2)+3167</f>
        <v>6807</v>
      </c>
      <c r="I40" s="19">
        <f>SUM(I32*2)+3520</f>
        <v>7360</v>
      </c>
      <c r="J40" s="19">
        <f>SUM(J32*2)+3881</f>
        <v>7921</v>
      </c>
      <c r="K40" s="105">
        <f>SUM(K32*2)+4385</f>
        <v>8625</v>
      </c>
    </row>
    <row r="41" spans="1:24" ht="15" hidden="1" thickBot="1" x14ac:dyDescent="0.35">
      <c r="A41" s="82" t="s">
        <v>138</v>
      </c>
      <c r="B41" s="16" t="s">
        <v>34</v>
      </c>
      <c r="C41" s="14" t="s">
        <v>35</v>
      </c>
      <c r="D41" s="14" t="s">
        <v>36</v>
      </c>
      <c r="E41" s="14" t="s">
        <v>37</v>
      </c>
      <c r="F41" s="14" t="s">
        <v>38</v>
      </c>
      <c r="G41" s="14" t="s">
        <v>39</v>
      </c>
      <c r="H41" s="14" t="s">
        <v>40</v>
      </c>
      <c r="I41" s="14" t="s">
        <v>41</v>
      </c>
      <c r="J41" s="14" t="s">
        <v>42</v>
      </c>
      <c r="K41" s="15" t="s">
        <v>134</v>
      </c>
    </row>
    <row r="42" spans="1:24" hidden="1" x14ac:dyDescent="0.3">
      <c r="A42" s="81" t="s">
        <v>31</v>
      </c>
      <c r="B42" s="115">
        <f>B37*0.59</f>
        <v>2299.8199999999997</v>
      </c>
      <c r="C42" s="115">
        <f t="shared" ref="C42:K42" si="13">C37*0.59</f>
        <v>2571.2199999999998</v>
      </c>
      <c r="D42" s="115">
        <f t="shared" si="13"/>
        <v>2768.2799999999997</v>
      </c>
      <c r="E42" s="115">
        <f t="shared" si="13"/>
        <v>2990.12</v>
      </c>
      <c r="F42" s="115">
        <f t="shared" si="13"/>
        <v>3221.99</v>
      </c>
      <c r="G42" s="115">
        <f t="shared" si="13"/>
        <v>3483.3599999999997</v>
      </c>
      <c r="H42" s="115">
        <f t="shared" si="13"/>
        <v>3725.2599999999998</v>
      </c>
      <c r="I42" s="115">
        <f t="shared" si="13"/>
        <v>4051.5299999999997</v>
      </c>
      <c r="J42" s="115">
        <f t="shared" si="13"/>
        <v>4382.5199999999995</v>
      </c>
      <c r="K42" s="116">
        <f t="shared" si="13"/>
        <v>4797.88</v>
      </c>
    </row>
    <row r="43" spans="1:24" hidden="1" x14ac:dyDescent="0.3">
      <c r="A43" s="25" t="s">
        <v>43</v>
      </c>
      <c r="B43" s="101">
        <f>B38*0.59</f>
        <v>2452.6299999999997</v>
      </c>
      <c r="C43" s="101">
        <f t="shared" ref="C43:K43" si="14">C38*0.59</f>
        <v>2723.44</v>
      </c>
      <c r="D43" s="101">
        <f t="shared" si="14"/>
        <v>2920.5</v>
      </c>
      <c r="E43" s="101">
        <f t="shared" si="14"/>
        <v>3142.93</v>
      </c>
      <c r="F43" s="101">
        <f t="shared" si="14"/>
        <v>3374.7999999999997</v>
      </c>
      <c r="G43" s="101">
        <f t="shared" si="14"/>
        <v>3636.1699999999996</v>
      </c>
      <c r="H43" s="101">
        <f t="shared" si="14"/>
        <v>3878.0699999999997</v>
      </c>
      <c r="I43" s="101">
        <f t="shared" si="14"/>
        <v>4204.34</v>
      </c>
      <c r="J43" s="101">
        <f t="shared" si="14"/>
        <v>4535.33</v>
      </c>
      <c r="K43" s="117">
        <f t="shared" si="14"/>
        <v>4950.6899999999996</v>
      </c>
    </row>
    <row r="44" spans="1:24" hidden="1" x14ac:dyDescent="0.3">
      <c r="A44" s="25" t="s">
        <v>32</v>
      </c>
      <c r="B44" s="101">
        <f>B39*0.59</f>
        <v>2197.75</v>
      </c>
      <c r="C44" s="101">
        <f t="shared" ref="C44:K44" si="15">C39*0.59</f>
        <v>2468.56</v>
      </c>
      <c r="D44" s="101">
        <f t="shared" si="15"/>
        <v>2665.62</v>
      </c>
      <c r="E44" s="101">
        <f t="shared" si="15"/>
        <v>2887.46</v>
      </c>
      <c r="F44" s="101">
        <f t="shared" si="15"/>
        <v>3119.9199999999996</v>
      </c>
      <c r="G44" s="101">
        <f t="shared" si="15"/>
        <v>3381.29</v>
      </c>
      <c r="H44" s="101">
        <f t="shared" si="15"/>
        <v>3623.1899999999996</v>
      </c>
      <c r="I44" s="101">
        <f t="shared" si="15"/>
        <v>3949.4599999999996</v>
      </c>
      <c r="J44" s="101">
        <f t="shared" si="15"/>
        <v>4280.45</v>
      </c>
      <c r="K44" s="117">
        <f t="shared" si="15"/>
        <v>4695.8099999999995</v>
      </c>
    </row>
    <row r="45" spans="1:24" ht="15" hidden="1" thickBot="1" x14ac:dyDescent="0.35">
      <c r="A45" s="26" t="s">
        <v>33</v>
      </c>
      <c r="B45" s="102">
        <f>B40*0.59</f>
        <v>2590.69</v>
      </c>
      <c r="C45" s="102">
        <f t="shared" ref="C45:K45" si="16">C40*0.59</f>
        <v>2861.5</v>
      </c>
      <c r="D45" s="102">
        <f t="shared" si="16"/>
        <v>3058.56</v>
      </c>
      <c r="E45" s="102">
        <f t="shared" si="16"/>
        <v>3280.3999999999996</v>
      </c>
      <c r="F45" s="102">
        <f t="shared" si="16"/>
        <v>3512.8599999999997</v>
      </c>
      <c r="G45" s="102">
        <f t="shared" si="16"/>
        <v>3774.23</v>
      </c>
      <c r="H45" s="102">
        <f t="shared" si="16"/>
        <v>4016.1299999999997</v>
      </c>
      <c r="I45" s="102">
        <f t="shared" si="16"/>
        <v>4342.3999999999996</v>
      </c>
      <c r="J45" s="102">
        <f t="shared" si="16"/>
        <v>4673.3899999999994</v>
      </c>
      <c r="K45" s="118">
        <f t="shared" si="16"/>
        <v>5088.75</v>
      </c>
    </row>
    <row r="46" spans="1:24" ht="15" hidden="1" thickBot="1" x14ac:dyDescent="0.35"/>
    <row r="47" spans="1:24" ht="15" hidden="1" thickBot="1" x14ac:dyDescent="0.35">
      <c r="A47" s="109" t="s">
        <v>136</v>
      </c>
      <c r="B47" s="108" t="s">
        <v>16</v>
      </c>
      <c r="C47" s="106" t="s">
        <v>26</v>
      </c>
      <c r="D47" s="106" t="s">
        <v>18</v>
      </c>
      <c r="E47" s="106" t="s">
        <v>20</v>
      </c>
      <c r="F47" s="106" t="s">
        <v>22</v>
      </c>
      <c r="G47" s="106" t="s">
        <v>24</v>
      </c>
      <c r="H47" s="106" t="s">
        <v>27</v>
      </c>
      <c r="I47" s="106" t="s">
        <v>28</v>
      </c>
      <c r="J47" s="106" t="s">
        <v>29</v>
      </c>
      <c r="K47" s="107" t="s">
        <v>46</v>
      </c>
    </row>
    <row r="48" spans="1:24" ht="15" hidden="1" thickBot="1" x14ac:dyDescent="0.35">
      <c r="A48" s="111"/>
      <c r="B48" s="112">
        <v>800</v>
      </c>
      <c r="C48" s="113">
        <v>1040</v>
      </c>
      <c r="D48" s="113">
        <v>1060</v>
      </c>
      <c r="E48" s="113">
        <v>1140</v>
      </c>
      <c r="F48" s="113">
        <v>1240</v>
      </c>
      <c r="G48" s="113">
        <v>1320</v>
      </c>
      <c r="H48" s="113">
        <v>1460</v>
      </c>
      <c r="I48" s="113">
        <v>1620</v>
      </c>
      <c r="J48" s="113">
        <v>1760</v>
      </c>
      <c r="K48" s="114">
        <v>1960</v>
      </c>
      <c r="M48" s="83"/>
    </row>
    <row r="49" spans="1:13" ht="15" hidden="1" thickBot="1" x14ac:dyDescent="0.35">
      <c r="A49" s="167" t="s">
        <v>137</v>
      </c>
      <c r="B49" s="121" t="s">
        <v>15</v>
      </c>
      <c r="C49" s="122" t="s">
        <v>15</v>
      </c>
      <c r="D49" s="122" t="s">
        <v>17</v>
      </c>
      <c r="E49" s="122" t="s">
        <v>17</v>
      </c>
      <c r="F49" s="122" t="s">
        <v>19</v>
      </c>
      <c r="G49" s="122" t="s">
        <v>19</v>
      </c>
      <c r="H49" s="122" t="s">
        <v>21</v>
      </c>
      <c r="I49" s="122" t="s">
        <v>21</v>
      </c>
      <c r="J49" s="122" t="s">
        <v>23</v>
      </c>
      <c r="K49" s="123" t="s">
        <v>23</v>
      </c>
      <c r="M49" s="80" t="s">
        <v>139</v>
      </c>
    </row>
    <row r="50" spans="1:13" hidden="1" x14ac:dyDescent="0.3">
      <c r="A50" s="24" t="s">
        <v>31</v>
      </c>
      <c r="B50" s="151">
        <f t="shared" ref="B50:K50" si="17">B42-B48</f>
        <v>1499.8199999999997</v>
      </c>
      <c r="C50" s="152">
        <f t="shared" si="17"/>
        <v>1531.2199999999998</v>
      </c>
      <c r="D50" s="152">
        <f t="shared" si="17"/>
        <v>1708.2799999999997</v>
      </c>
      <c r="E50" s="152">
        <f t="shared" si="17"/>
        <v>1850.12</v>
      </c>
      <c r="F50" s="152">
        <f t="shared" si="17"/>
        <v>1981.9899999999998</v>
      </c>
      <c r="G50" s="152">
        <f t="shared" si="17"/>
        <v>2163.3599999999997</v>
      </c>
      <c r="H50" s="152">
        <f t="shared" si="17"/>
        <v>2265.2599999999998</v>
      </c>
      <c r="I50" s="152">
        <f t="shared" si="17"/>
        <v>2431.5299999999997</v>
      </c>
      <c r="J50" s="152">
        <f t="shared" si="17"/>
        <v>2622.5199999999995</v>
      </c>
      <c r="K50" s="153">
        <f t="shared" si="17"/>
        <v>2837.88</v>
      </c>
      <c r="M50" s="91">
        <f>AVERAGE(B50:L50)</f>
        <v>2089.1980000000003</v>
      </c>
    </row>
    <row r="51" spans="1:13" hidden="1" x14ac:dyDescent="0.3">
      <c r="A51" s="25" t="s">
        <v>43</v>
      </c>
      <c r="B51" s="154">
        <f t="shared" ref="B51:K51" si="18">B43-B48</f>
        <v>1652.6299999999997</v>
      </c>
      <c r="C51" s="155">
        <f t="shared" si="18"/>
        <v>1683.44</v>
      </c>
      <c r="D51" s="155">
        <f t="shared" si="18"/>
        <v>1860.5</v>
      </c>
      <c r="E51" s="155">
        <f t="shared" si="18"/>
        <v>2002.9299999999998</v>
      </c>
      <c r="F51" s="155">
        <f t="shared" si="18"/>
        <v>2134.7999999999997</v>
      </c>
      <c r="G51" s="155">
        <f t="shared" si="18"/>
        <v>2316.1699999999996</v>
      </c>
      <c r="H51" s="155">
        <f t="shared" si="18"/>
        <v>2418.0699999999997</v>
      </c>
      <c r="I51" s="155">
        <f t="shared" si="18"/>
        <v>2584.34</v>
      </c>
      <c r="J51" s="155">
        <f t="shared" si="18"/>
        <v>2775.33</v>
      </c>
      <c r="K51" s="156">
        <f t="shared" si="18"/>
        <v>2990.6899999999996</v>
      </c>
      <c r="M51" s="91">
        <f>AVERAGE(B51:L51)</f>
        <v>2241.89</v>
      </c>
    </row>
    <row r="52" spans="1:13" hidden="1" x14ac:dyDescent="0.3">
      <c r="A52" s="25" t="s">
        <v>32</v>
      </c>
      <c r="B52" s="154">
        <f t="shared" ref="B52:K52" si="19">B44-B48</f>
        <v>1397.75</v>
      </c>
      <c r="C52" s="155">
        <f t="shared" si="19"/>
        <v>1428.56</v>
      </c>
      <c r="D52" s="155">
        <f t="shared" si="19"/>
        <v>1605.62</v>
      </c>
      <c r="E52" s="155">
        <f t="shared" si="19"/>
        <v>1747.46</v>
      </c>
      <c r="F52" s="155">
        <f t="shared" si="19"/>
        <v>1879.9199999999996</v>
      </c>
      <c r="G52" s="155">
        <f t="shared" si="19"/>
        <v>2061.29</v>
      </c>
      <c r="H52" s="155">
        <f t="shared" si="19"/>
        <v>2163.1899999999996</v>
      </c>
      <c r="I52" s="155">
        <f t="shared" si="19"/>
        <v>2329.4599999999996</v>
      </c>
      <c r="J52" s="155">
        <f t="shared" si="19"/>
        <v>2520.4499999999998</v>
      </c>
      <c r="K52" s="156">
        <f t="shared" si="19"/>
        <v>2735.8099999999995</v>
      </c>
      <c r="M52" s="91">
        <f>AVERAGE(B52:L52)</f>
        <v>1986.9509999999996</v>
      </c>
    </row>
    <row r="53" spans="1:13" ht="15" hidden="1" thickBot="1" x14ac:dyDescent="0.35">
      <c r="A53" s="26" t="s">
        <v>33</v>
      </c>
      <c r="B53" s="157">
        <f t="shared" ref="B53:K53" si="20">B45-B48</f>
        <v>1790.69</v>
      </c>
      <c r="C53" s="158">
        <f t="shared" si="20"/>
        <v>1821.5</v>
      </c>
      <c r="D53" s="158">
        <f t="shared" si="20"/>
        <v>1998.56</v>
      </c>
      <c r="E53" s="158">
        <f t="shared" si="20"/>
        <v>2140.3999999999996</v>
      </c>
      <c r="F53" s="158">
        <f t="shared" si="20"/>
        <v>2272.8599999999997</v>
      </c>
      <c r="G53" s="158">
        <f t="shared" si="20"/>
        <v>2454.23</v>
      </c>
      <c r="H53" s="158">
        <f t="shared" si="20"/>
        <v>2556.1299999999997</v>
      </c>
      <c r="I53" s="158">
        <f t="shared" si="20"/>
        <v>2722.3999999999996</v>
      </c>
      <c r="J53" s="158">
        <f t="shared" si="20"/>
        <v>2913.3899999999994</v>
      </c>
      <c r="K53" s="159">
        <f t="shared" si="20"/>
        <v>3128.75</v>
      </c>
      <c r="M53" s="91">
        <f>AVERAGE(B53:L53)</f>
        <v>2379.8909999999996</v>
      </c>
    </row>
    <row r="54" spans="1:13" ht="15" hidden="1" thickBot="1" x14ac:dyDescent="0.35">
      <c r="A54" s="70" t="s">
        <v>163</v>
      </c>
      <c r="B54" s="110">
        <f t="shared" ref="B54:K54" si="21">AVERAGE(B50:B53)</f>
        <v>1585.2224999999999</v>
      </c>
      <c r="C54" s="92">
        <f t="shared" si="21"/>
        <v>1616.1799999999998</v>
      </c>
      <c r="D54" s="92">
        <f t="shared" si="21"/>
        <v>1793.2399999999998</v>
      </c>
      <c r="E54" s="92">
        <f t="shared" si="21"/>
        <v>1935.2275</v>
      </c>
      <c r="F54" s="92">
        <f t="shared" si="21"/>
        <v>2067.3924999999999</v>
      </c>
      <c r="G54" s="92">
        <f t="shared" si="21"/>
        <v>2248.7624999999998</v>
      </c>
      <c r="H54" s="92">
        <f t="shared" si="21"/>
        <v>2350.6624999999999</v>
      </c>
      <c r="I54" s="92">
        <f t="shared" si="21"/>
        <v>2516.9324999999999</v>
      </c>
      <c r="J54" s="92">
        <f t="shared" si="21"/>
        <v>2707.9224999999997</v>
      </c>
      <c r="K54" s="94">
        <f t="shared" si="21"/>
        <v>2923.2824999999998</v>
      </c>
      <c r="M54" s="93">
        <f>AVERAGE(B54:K54)</f>
        <v>2174.4825000000005</v>
      </c>
    </row>
    <row r="55" spans="1:13" ht="15" hidden="1" thickBot="1" x14ac:dyDescent="0.35">
      <c r="A55" s="127" t="s">
        <v>164</v>
      </c>
      <c r="B55" s="126" t="s">
        <v>15</v>
      </c>
      <c r="C55" s="124" t="s">
        <v>15</v>
      </c>
      <c r="D55" s="124" t="s">
        <v>17</v>
      </c>
      <c r="E55" s="124" t="s">
        <v>17</v>
      </c>
      <c r="F55" s="124" t="s">
        <v>19</v>
      </c>
      <c r="G55" s="124" t="s">
        <v>19</v>
      </c>
      <c r="H55" s="124" t="s">
        <v>21</v>
      </c>
      <c r="I55" s="124" t="s">
        <v>21</v>
      </c>
      <c r="J55" s="124" t="s">
        <v>23</v>
      </c>
      <c r="K55" s="125" t="s">
        <v>23</v>
      </c>
      <c r="M55" s="80" t="s">
        <v>140</v>
      </c>
    </row>
    <row r="56" spans="1:13" hidden="1" x14ac:dyDescent="0.3">
      <c r="A56" s="24" t="s">
        <v>31</v>
      </c>
      <c r="B56" s="100">
        <v>1575</v>
      </c>
      <c r="C56" s="119">
        <v>1675</v>
      </c>
      <c r="D56" s="119">
        <v>2000</v>
      </c>
      <c r="E56" s="119">
        <v>2100</v>
      </c>
      <c r="F56" s="144">
        <v>1450</v>
      </c>
      <c r="G56" s="144">
        <v>1550</v>
      </c>
      <c r="H56" s="144">
        <v>1100</v>
      </c>
      <c r="I56" s="144">
        <v>1200</v>
      </c>
      <c r="J56" s="144">
        <v>1200</v>
      </c>
      <c r="K56" s="145">
        <v>1325</v>
      </c>
      <c r="M56" s="91">
        <f>AVERAGE(B56:L56)</f>
        <v>1517.5</v>
      </c>
    </row>
    <row r="57" spans="1:13" hidden="1" x14ac:dyDescent="0.3">
      <c r="A57" s="25" t="s">
        <v>43</v>
      </c>
      <c r="B57" s="101">
        <v>1600</v>
      </c>
      <c r="C57" s="120">
        <v>1700</v>
      </c>
      <c r="D57" s="120">
        <v>2025</v>
      </c>
      <c r="E57" s="120">
        <v>2125</v>
      </c>
      <c r="F57" s="146">
        <v>1475</v>
      </c>
      <c r="G57" s="146">
        <v>1575</v>
      </c>
      <c r="H57" s="146">
        <v>1125</v>
      </c>
      <c r="I57" s="146">
        <v>1225</v>
      </c>
      <c r="J57" s="146">
        <v>1225</v>
      </c>
      <c r="K57" s="147">
        <v>1350</v>
      </c>
      <c r="M57" s="91">
        <f>AVERAGE(B57:L57)</f>
        <v>1542.5</v>
      </c>
    </row>
    <row r="58" spans="1:13" hidden="1" x14ac:dyDescent="0.3">
      <c r="A58" s="25" t="s">
        <v>32</v>
      </c>
      <c r="B58" s="101">
        <v>1350</v>
      </c>
      <c r="C58" s="120">
        <v>1450</v>
      </c>
      <c r="D58" s="120">
        <v>1775</v>
      </c>
      <c r="E58" s="120">
        <v>1875</v>
      </c>
      <c r="F58" s="146">
        <v>1225</v>
      </c>
      <c r="G58" s="146">
        <v>1325</v>
      </c>
      <c r="H58" s="146">
        <v>1125</v>
      </c>
      <c r="I58" s="146">
        <v>1225</v>
      </c>
      <c r="J58" s="146">
        <v>1225</v>
      </c>
      <c r="K58" s="147">
        <v>1350</v>
      </c>
      <c r="M58" s="91">
        <f>AVERAGE(B58:L58)</f>
        <v>1392.5</v>
      </c>
    </row>
    <row r="59" spans="1:13" ht="15" hidden="1" thickBot="1" x14ac:dyDescent="0.35">
      <c r="A59" s="128" t="s">
        <v>33</v>
      </c>
      <c r="B59" s="129">
        <v>1680</v>
      </c>
      <c r="C59" s="130">
        <v>1780</v>
      </c>
      <c r="D59" s="130">
        <v>2105</v>
      </c>
      <c r="E59" s="130">
        <v>2205</v>
      </c>
      <c r="F59" s="148">
        <v>1555</v>
      </c>
      <c r="G59" s="148">
        <v>1655</v>
      </c>
      <c r="H59" s="148">
        <v>1205</v>
      </c>
      <c r="I59" s="148">
        <v>1305</v>
      </c>
      <c r="J59" s="148">
        <v>1305</v>
      </c>
      <c r="K59" s="149">
        <v>1430</v>
      </c>
      <c r="M59" s="91">
        <f>AVERAGE(B59:L59)</f>
        <v>1622.5</v>
      </c>
    </row>
    <row r="60" spans="1:13" ht="15" hidden="1" thickBot="1" x14ac:dyDescent="0.35">
      <c r="A60" s="70" t="s">
        <v>141</v>
      </c>
      <c r="B60" s="110">
        <f t="shared" ref="B60:K60" si="22">AVERAGE(B56:B59)</f>
        <v>1551.25</v>
      </c>
      <c r="C60" s="92">
        <f t="shared" si="22"/>
        <v>1651.25</v>
      </c>
      <c r="D60" s="92">
        <f t="shared" si="22"/>
        <v>1976.25</v>
      </c>
      <c r="E60" s="92">
        <f t="shared" si="22"/>
        <v>2076.25</v>
      </c>
      <c r="F60" s="92">
        <f t="shared" si="22"/>
        <v>1426.25</v>
      </c>
      <c r="G60" s="92">
        <f t="shared" si="22"/>
        <v>1526.25</v>
      </c>
      <c r="H60" s="92">
        <f t="shared" si="22"/>
        <v>1138.75</v>
      </c>
      <c r="I60" s="92">
        <f t="shared" si="22"/>
        <v>1238.75</v>
      </c>
      <c r="J60" s="92">
        <f t="shared" si="22"/>
        <v>1238.75</v>
      </c>
      <c r="K60" s="94">
        <f t="shared" si="22"/>
        <v>1363.75</v>
      </c>
      <c r="M60" s="93">
        <f>AVERAGE(B60:K60)</f>
        <v>1518.75</v>
      </c>
    </row>
    <row r="61" spans="1:13" ht="15" hidden="1" thickBot="1" x14ac:dyDescent="0.35"/>
    <row r="62" spans="1:13" ht="15" hidden="1" thickBot="1" x14ac:dyDescent="0.35">
      <c r="A62" s="143" t="s">
        <v>173</v>
      </c>
      <c r="B62" s="108" t="s">
        <v>20</v>
      </c>
      <c r="C62" s="106" t="s">
        <v>28</v>
      </c>
      <c r="D62" s="106" t="s">
        <v>28</v>
      </c>
      <c r="E62" s="106" t="s">
        <v>45</v>
      </c>
      <c r="F62" s="106" t="s">
        <v>45</v>
      </c>
      <c r="G62" s="106" t="s">
        <v>26</v>
      </c>
      <c r="H62" s="106" t="s">
        <v>26</v>
      </c>
      <c r="I62" s="106" t="s">
        <v>29</v>
      </c>
      <c r="J62" s="106" t="s">
        <v>27</v>
      </c>
      <c r="K62" s="107" t="s">
        <v>46</v>
      </c>
    </row>
    <row r="63" spans="1:13" hidden="1" x14ac:dyDescent="0.3">
      <c r="A63" s="81" t="s">
        <v>167</v>
      </c>
      <c r="B63" s="140">
        <v>430</v>
      </c>
      <c r="C63" s="141">
        <v>470</v>
      </c>
      <c r="D63" s="141">
        <v>470</v>
      </c>
      <c r="E63" s="141">
        <v>520</v>
      </c>
      <c r="F63" s="141">
        <v>520</v>
      </c>
      <c r="G63" s="141">
        <v>580</v>
      </c>
      <c r="H63" s="141">
        <v>580</v>
      </c>
      <c r="I63" s="141">
        <v>650</v>
      </c>
      <c r="J63" s="141">
        <v>730</v>
      </c>
      <c r="K63" s="142">
        <v>850</v>
      </c>
      <c r="L63" s="139"/>
    </row>
    <row r="64" spans="1:13" ht="15" hidden="1" thickBot="1" x14ac:dyDescent="0.35">
      <c r="A64" s="26" t="s">
        <v>165</v>
      </c>
      <c r="B64" s="137">
        <f t="shared" ref="B64:K64" si="23">B63*2</f>
        <v>860</v>
      </c>
      <c r="C64" s="138">
        <f t="shared" si="23"/>
        <v>940</v>
      </c>
      <c r="D64" s="138">
        <f t="shared" si="23"/>
        <v>940</v>
      </c>
      <c r="E64" s="138">
        <f t="shared" si="23"/>
        <v>1040</v>
      </c>
      <c r="F64" s="138">
        <f t="shared" si="23"/>
        <v>1040</v>
      </c>
      <c r="G64" s="138">
        <f t="shared" si="23"/>
        <v>1160</v>
      </c>
      <c r="H64" s="138">
        <f t="shared" si="23"/>
        <v>1160</v>
      </c>
      <c r="I64" s="138">
        <f t="shared" si="23"/>
        <v>1300</v>
      </c>
      <c r="J64" s="138">
        <f t="shared" si="23"/>
        <v>1460</v>
      </c>
      <c r="K64" s="84">
        <f t="shared" si="23"/>
        <v>1700</v>
      </c>
    </row>
    <row r="65" spans="1:11" hidden="1" x14ac:dyDescent="0.3">
      <c r="A65" s="81" t="s">
        <v>31</v>
      </c>
      <c r="B65" s="160">
        <f>B42-B$64</f>
        <v>1439.8199999999997</v>
      </c>
      <c r="C65" s="160">
        <f t="shared" ref="C65:K65" si="24">C42-C$64</f>
        <v>1631.2199999999998</v>
      </c>
      <c r="D65" s="160">
        <f t="shared" si="24"/>
        <v>1828.2799999999997</v>
      </c>
      <c r="E65" s="160">
        <f t="shared" si="24"/>
        <v>1950.12</v>
      </c>
      <c r="F65" s="160">
        <f t="shared" si="24"/>
        <v>2181.9899999999998</v>
      </c>
      <c r="G65" s="160">
        <f t="shared" si="24"/>
        <v>2323.3599999999997</v>
      </c>
      <c r="H65" s="160">
        <f t="shared" si="24"/>
        <v>2565.2599999999998</v>
      </c>
      <c r="I65" s="160">
        <f t="shared" si="24"/>
        <v>2751.5299999999997</v>
      </c>
      <c r="J65" s="160">
        <f t="shared" si="24"/>
        <v>2922.5199999999995</v>
      </c>
      <c r="K65" s="161">
        <f t="shared" si="24"/>
        <v>3097.88</v>
      </c>
    </row>
    <row r="66" spans="1:11" hidden="1" x14ac:dyDescent="0.3">
      <c r="A66" s="25" t="s">
        <v>43</v>
      </c>
      <c r="B66" s="151">
        <f t="shared" ref="B66:C68" si="25">B43-B$64</f>
        <v>1592.6299999999997</v>
      </c>
      <c r="C66" s="151">
        <f t="shared" si="25"/>
        <v>1783.44</v>
      </c>
      <c r="D66" s="151">
        <f t="shared" ref="D66:K66" si="26">D43-D$64</f>
        <v>1980.5</v>
      </c>
      <c r="E66" s="151">
        <f t="shared" si="26"/>
        <v>2102.9299999999998</v>
      </c>
      <c r="F66" s="151">
        <f t="shared" si="26"/>
        <v>2334.7999999999997</v>
      </c>
      <c r="G66" s="151">
        <f t="shared" si="26"/>
        <v>2476.1699999999996</v>
      </c>
      <c r="H66" s="151">
        <f t="shared" si="26"/>
        <v>2718.0699999999997</v>
      </c>
      <c r="I66" s="151">
        <f t="shared" si="26"/>
        <v>2904.34</v>
      </c>
      <c r="J66" s="151">
        <f t="shared" si="26"/>
        <v>3075.33</v>
      </c>
      <c r="K66" s="162">
        <f t="shared" si="26"/>
        <v>3250.6899999999996</v>
      </c>
    </row>
    <row r="67" spans="1:11" hidden="1" x14ac:dyDescent="0.3">
      <c r="A67" s="25" t="s">
        <v>32</v>
      </c>
      <c r="B67" s="151">
        <f t="shared" si="25"/>
        <v>1337.75</v>
      </c>
      <c r="C67" s="151">
        <f t="shared" si="25"/>
        <v>1528.56</v>
      </c>
      <c r="D67" s="151">
        <f t="shared" ref="D67:K67" si="27">D44-D$64</f>
        <v>1725.62</v>
      </c>
      <c r="E67" s="151">
        <f t="shared" si="27"/>
        <v>1847.46</v>
      </c>
      <c r="F67" s="151">
        <f t="shared" si="27"/>
        <v>2079.9199999999996</v>
      </c>
      <c r="G67" s="151">
        <f t="shared" si="27"/>
        <v>2221.29</v>
      </c>
      <c r="H67" s="151">
        <f t="shared" si="27"/>
        <v>2463.1899999999996</v>
      </c>
      <c r="I67" s="151">
        <f t="shared" si="27"/>
        <v>2649.4599999999996</v>
      </c>
      <c r="J67" s="151">
        <f t="shared" si="27"/>
        <v>2820.45</v>
      </c>
      <c r="K67" s="162">
        <f t="shared" si="27"/>
        <v>2995.8099999999995</v>
      </c>
    </row>
    <row r="68" spans="1:11" ht="15" hidden="1" thickBot="1" x14ac:dyDescent="0.35">
      <c r="A68" s="26" t="s">
        <v>33</v>
      </c>
      <c r="B68" s="163">
        <f t="shared" si="25"/>
        <v>1730.69</v>
      </c>
      <c r="C68" s="163">
        <f t="shared" si="25"/>
        <v>1921.5</v>
      </c>
      <c r="D68" s="163">
        <f t="shared" ref="D68:K68" si="28">D45-D$64</f>
        <v>2118.56</v>
      </c>
      <c r="E68" s="163">
        <f t="shared" si="28"/>
        <v>2240.3999999999996</v>
      </c>
      <c r="F68" s="163">
        <f t="shared" si="28"/>
        <v>2472.8599999999997</v>
      </c>
      <c r="G68" s="163">
        <f t="shared" si="28"/>
        <v>2614.23</v>
      </c>
      <c r="H68" s="163">
        <f t="shared" si="28"/>
        <v>2856.1299999999997</v>
      </c>
      <c r="I68" s="163">
        <f t="shared" si="28"/>
        <v>3042.3999999999996</v>
      </c>
      <c r="J68" s="163">
        <f t="shared" si="28"/>
        <v>3213.3899999999994</v>
      </c>
      <c r="K68" s="164">
        <f t="shared" si="28"/>
        <v>3388.75</v>
      </c>
    </row>
    <row r="69" spans="1:11" ht="15" hidden="1" thickBot="1" x14ac:dyDescent="0.35">
      <c r="A69" s="243" t="s">
        <v>175</v>
      </c>
      <c r="B69" s="244"/>
      <c r="C69" s="244"/>
      <c r="D69" s="244"/>
      <c r="E69" s="244"/>
      <c r="F69" s="244"/>
      <c r="G69" s="244"/>
      <c r="H69" s="244"/>
      <c r="I69" s="244"/>
      <c r="J69" s="244"/>
      <c r="K69" s="245"/>
    </row>
    <row r="70" spans="1:11" ht="15" hidden="1" thickBot="1" x14ac:dyDescent="0.35"/>
    <row r="71" spans="1:11" ht="15" hidden="1" thickBot="1" x14ac:dyDescent="0.35">
      <c r="A71" s="143" t="s">
        <v>169</v>
      </c>
      <c r="B71" s="108" t="s">
        <v>20</v>
      </c>
      <c r="C71" s="106" t="s">
        <v>28</v>
      </c>
      <c r="D71" s="106" t="s">
        <v>28</v>
      </c>
      <c r="E71" s="106" t="s">
        <v>45</v>
      </c>
      <c r="F71" s="106" t="s">
        <v>45</v>
      </c>
      <c r="G71" s="106" t="s">
        <v>26</v>
      </c>
      <c r="H71" s="106" t="s">
        <v>26</v>
      </c>
      <c r="I71" s="106" t="s">
        <v>29</v>
      </c>
      <c r="J71" s="106" t="s">
        <v>27</v>
      </c>
      <c r="K71" s="107" t="s">
        <v>46</v>
      </c>
    </row>
    <row r="72" spans="1:11" ht="15" hidden="1" thickBot="1" x14ac:dyDescent="0.35">
      <c r="A72" s="111" t="s">
        <v>168</v>
      </c>
      <c r="B72" s="134">
        <v>175</v>
      </c>
      <c r="C72" s="135">
        <v>205</v>
      </c>
      <c r="D72" s="135">
        <v>205</v>
      </c>
      <c r="E72" s="135">
        <v>235</v>
      </c>
      <c r="F72" s="135">
        <v>235</v>
      </c>
      <c r="G72" s="135">
        <v>260</v>
      </c>
      <c r="H72" s="135">
        <v>260</v>
      </c>
      <c r="I72" s="135">
        <v>300</v>
      </c>
      <c r="J72" s="135">
        <v>335</v>
      </c>
      <c r="K72" s="136">
        <v>370</v>
      </c>
    </row>
    <row r="73" spans="1:11" ht="15" hidden="1" thickBot="1" x14ac:dyDescent="0.35">
      <c r="A73" s="143" t="s">
        <v>170</v>
      </c>
      <c r="B73" s="108" t="s">
        <v>28</v>
      </c>
      <c r="C73" s="106" t="s">
        <v>28</v>
      </c>
      <c r="D73" s="106" t="s">
        <v>45</v>
      </c>
      <c r="E73" s="106" t="s">
        <v>45</v>
      </c>
      <c r="F73" s="106" t="s">
        <v>26</v>
      </c>
      <c r="G73" s="106" t="s">
        <v>26</v>
      </c>
      <c r="H73" s="106" t="s">
        <v>26</v>
      </c>
      <c r="I73" s="106" t="s">
        <v>29</v>
      </c>
      <c r="J73" s="106" t="s">
        <v>29</v>
      </c>
      <c r="K73" s="107" t="s">
        <v>29</v>
      </c>
    </row>
    <row r="74" spans="1:11" hidden="1" x14ac:dyDescent="0.3">
      <c r="A74" s="81" t="s">
        <v>171</v>
      </c>
      <c r="B74" s="133">
        <v>270</v>
      </c>
      <c r="C74" s="131">
        <v>270</v>
      </c>
      <c r="D74" s="131">
        <v>300</v>
      </c>
      <c r="E74" s="131">
        <v>300</v>
      </c>
      <c r="F74" s="131">
        <v>320</v>
      </c>
      <c r="G74" s="131">
        <v>320</v>
      </c>
      <c r="H74" s="131">
        <v>320</v>
      </c>
      <c r="I74" s="131">
        <v>340</v>
      </c>
      <c r="J74" s="131">
        <v>340</v>
      </c>
      <c r="K74" s="132">
        <v>340</v>
      </c>
    </row>
    <row r="75" spans="1:11" ht="15" hidden="1" thickBot="1" x14ac:dyDescent="0.35">
      <c r="A75" s="26" t="s">
        <v>172</v>
      </c>
      <c r="B75" s="137">
        <f t="shared" ref="B75:K75" si="29">B74*2</f>
        <v>540</v>
      </c>
      <c r="C75" s="138">
        <f t="shared" si="29"/>
        <v>540</v>
      </c>
      <c r="D75" s="138">
        <f t="shared" si="29"/>
        <v>600</v>
      </c>
      <c r="E75" s="138">
        <f t="shared" si="29"/>
        <v>600</v>
      </c>
      <c r="F75" s="138">
        <f t="shared" si="29"/>
        <v>640</v>
      </c>
      <c r="G75" s="138">
        <f t="shared" si="29"/>
        <v>640</v>
      </c>
      <c r="H75" s="138">
        <f t="shared" si="29"/>
        <v>640</v>
      </c>
      <c r="I75" s="138">
        <f t="shared" si="29"/>
        <v>680</v>
      </c>
      <c r="J75" s="138">
        <f t="shared" si="29"/>
        <v>680</v>
      </c>
      <c r="K75" s="84">
        <f t="shared" si="29"/>
        <v>680</v>
      </c>
    </row>
    <row r="76" spans="1:11" hidden="1" x14ac:dyDescent="0.3">
      <c r="A76" s="24" t="s">
        <v>31</v>
      </c>
      <c r="B76" s="151">
        <f t="shared" ref="B76:K76" si="30">B42-B$75</f>
        <v>1759.8199999999997</v>
      </c>
      <c r="C76" s="151">
        <f t="shared" si="30"/>
        <v>2031.2199999999998</v>
      </c>
      <c r="D76" s="151">
        <f t="shared" si="30"/>
        <v>2168.2799999999997</v>
      </c>
      <c r="E76" s="151">
        <f t="shared" si="30"/>
        <v>2390.12</v>
      </c>
      <c r="F76" s="151">
        <f t="shared" si="30"/>
        <v>2581.9899999999998</v>
      </c>
      <c r="G76" s="151">
        <f t="shared" si="30"/>
        <v>2843.3599999999997</v>
      </c>
      <c r="H76" s="151">
        <f t="shared" si="30"/>
        <v>3085.2599999999998</v>
      </c>
      <c r="I76" s="151">
        <f t="shared" si="30"/>
        <v>3371.5299999999997</v>
      </c>
      <c r="J76" s="151">
        <f t="shared" si="30"/>
        <v>3702.5199999999995</v>
      </c>
      <c r="K76" s="162">
        <f t="shared" si="30"/>
        <v>4117.88</v>
      </c>
    </row>
    <row r="77" spans="1:11" hidden="1" x14ac:dyDescent="0.3">
      <c r="A77" s="25" t="s">
        <v>43</v>
      </c>
      <c r="B77" s="151">
        <f t="shared" ref="B77:D79" si="31">B43-B$75</f>
        <v>1912.6299999999997</v>
      </c>
      <c r="C77" s="151">
        <f t="shared" si="31"/>
        <v>2183.44</v>
      </c>
      <c r="D77" s="151">
        <f t="shared" si="31"/>
        <v>2320.5</v>
      </c>
      <c r="E77" s="151">
        <f t="shared" ref="E77:F77" si="32">E43-E$75</f>
        <v>2542.9299999999998</v>
      </c>
      <c r="F77" s="151">
        <f t="shared" si="32"/>
        <v>2734.7999999999997</v>
      </c>
      <c r="G77" s="151">
        <f t="shared" ref="G77:H77" si="33">G43-G$75</f>
        <v>2996.1699999999996</v>
      </c>
      <c r="H77" s="151">
        <f t="shared" si="33"/>
        <v>3238.0699999999997</v>
      </c>
      <c r="I77" s="151">
        <f t="shared" ref="I77:J77" si="34">I43-I$75</f>
        <v>3524.34</v>
      </c>
      <c r="J77" s="151">
        <f t="shared" si="34"/>
        <v>3855.33</v>
      </c>
      <c r="K77" s="162">
        <f t="shared" ref="K77" si="35">K43-K$75</f>
        <v>4270.6899999999996</v>
      </c>
    </row>
    <row r="78" spans="1:11" hidden="1" x14ac:dyDescent="0.3">
      <c r="A78" s="25" t="s">
        <v>32</v>
      </c>
      <c r="B78" s="151">
        <f t="shared" si="31"/>
        <v>1657.75</v>
      </c>
      <c r="C78" s="151">
        <f t="shared" si="31"/>
        <v>1928.56</v>
      </c>
      <c r="D78" s="151">
        <f t="shared" si="31"/>
        <v>2065.62</v>
      </c>
      <c r="E78" s="151">
        <f t="shared" ref="E78:F78" si="36">E44-E$75</f>
        <v>2287.46</v>
      </c>
      <c r="F78" s="151">
        <f t="shared" si="36"/>
        <v>2479.9199999999996</v>
      </c>
      <c r="G78" s="151">
        <f t="shared" ref="G78:H78" si="37">G44-G$75</f>
        <v>2741.29</v>
      </c>
      <c r="H78" s="151">
        <f t="shared" si="37"/>
        <v>2983.1899999999996</v>
      </c>
      <c r="I78" s="151">
        <f t="shared" ref="I78:J78" si="38">I44-I$75</f>
        <v>3269.4599999999996</v>
      </c>
      <c r="J78" s="151">
        <f t="shared" si="38"/>
        <v>3600.45</v>
      </c>
      <c r="K78" s="162">
        <f t="shared" ref="K78" si="39">K44-K$75</f>
        <v>4015.8099999999995</v>
      </c>
    </row>
    <row r="79" spans="1:11" ht="15" hidden="1" thickBot="1" x14ac:dyDescent="0.35">
      <c r="A79" s="128" t="s">
        <v>33</v>
      </c>
      <c r="B79" s="165">
        <f t="shared" si="31"/>
        <v>2050.69</v>
      </c>
      <c r="C79" s="165">
        <f t="shared" si="31"/>
        <v>2321.5</v>
      </c>
      <c r="D79" s="165">
        <f t="shared" si="31"/>
        <v>2458.56</v>
      </c>
      <c r="E79" s="165">
        <f t="shared" ref="E79:F79" si="40">E45-E$75</f>
        <v>2680.3999999999996</v>
      </c>
      <c r="F79" s="165">
        <f t="shared" si="40"/>
        <v>2872.8599999999997</v>
      </c>
      <c r="G79" s="165">
        <f t="shared" ref="G79:H79" si="41">G45-G$75</f>
        <v>3134.23</v>
      </c>
      <c r="H79" s="165">
        <f t="shared" si="41"/>
        <v>3376.1299999999997</v>
      </c>
      <c r="I79" s="165">
        <f t="shared" ref="I79:J79" si="42">I45-I$75</f>
        <v>3662.3999999999996</v>
      </c>
      <c r="J79" s="165">
        <f t="shared" si="42"/>
        <v>3993.3899999999994</v>
      </c>
      <c r="K79" s="166">
        <f t="shared" ref="K79" si="43">K45-K$75</f>
        <v>4408.75</v>
      </c>
    </row>
    <row r="80" spans="1:11" ht="15" hidden="1" thickBot="1" x14ac:dyDescent="0.35">
      <c r="A80" s="246" t="s">
        <v>174</v>
      </c>
      <c r="B80" s="247"/>
      <c r="C80" s="247"/>
      <c r="D80" s="247"/>
      <c r="E80" s="247"/>
      <c r="F80" s="247"/>
      <c r="G80" s="247"/>
      <c r="H80" s="247"/>
      <c r="I80" s="247"/>
      <c r="J80" s="247"/>
      <c r="K80" s="248"/>
    </row>
  </sheetData>
  <mergeCells count="26">
    <mergeCell ref="M1:O1"/>
    <mergeCell ref="M2:O2"/>
    <mergeCell ref="A11:E11"/>
    <mergeCell ref="A1:E1"/>
    <mergeCell ref="A2:E2"/>
    <mergeCell ref="A3:E3"/>
    <mergeCell ref="A5:E5"/>
    <mergeCell ref="A8:E8"/>
    <mergeCell ref="A9:E9"/>
    <mergeCell ref="A10:E10"/>
    <mergeCell ref="A6:E6"/>
    <mergeCell ref="A7:E7"/>
    <mergeCell ref="A4:E4"/>
    <mergeCell ref="A69:K69"/>
    <mergeCell ref="A80:K80"/>
    <mergeCell ref="A12:E12"/>
    <mergeCell ref="M3:O3"/>
    <mergeCell ref="R14:U14"/>
    <mergeCell ref="R16:R25"/>
    <mergeCell ref="M27:W27"/>
    <mergeCell ref="A35:K35"/>
    <mergeCell ref="M14:P14"/>
    <mergeCell ref="M16:M25"/>
    <mergeCell ref="A14:D14"/>
    <mergeCell ref="A16:A25"/>
    <mergeCell ref="A27:K27"/>
  </mergeCells>
  <pageMargins left="0.7" right="0.7" top="0.75" bottom="0.75" header="0.3" footer="0.3"/>
  <pageSetup paperSize="9" orientation="portrait" verticalDpi="0" r:id="rId1"/>
  <ignoredErrors>
    <ignoredError sqref="G29:G32 S29:S3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0C518-B6A0-47F3-8C65-4D1A882A1B93}">
  <dimension ref="A1:P57"/>
  <sheetViews>
    <sheetView tabSelected="1" zoomScale="70" zoomScaleNormal="70" workbookViewId="0">
      <selection activeCell="L27" sqref="L27"/>
    </sheetView>
  </sheetViews>
  <sheetFormatPr defaultRowHeight="14.4" x14ac:dyDescent="0.3"/>
  <cols>
    <col min="1" max="1" width="11.6640625" customWidth="1"/>
    <col min="2" max="2" width="14.5546875" customWidth="1"/>
    <col min="3" max="3" width="13" customWidth="1"/>
    <col min="4" max="4" width="12" customWidth="1"/>
    <col min="5" max="5" width="11.5546875" customWidth="1"/>
    <col min="6" max="7" width="11.77734375" customWidth="1"/>
    <col min="8" max="10" width="15.77734375" customWidth="1"/>
    <col min="11" max="11" width="12.33203125" customWidth="1"/>
    <col min="12" max="12" width="11.77734375" customWidth="1"/>
    <col min="13" max="13" width="8.88671875" bestFit="1" customWidth="1"/>
    <col min="14" max="14" width="23.21875" style="3" bestFit="1" customWidth="1"/>
    <col min="15" max="15" width="3.6640625" customWidth="1"/>
    <col min="16" max="16" width="26.21875" style="3" bestFit="1" customWidth="1"/>
  </cols>
  <sheetData>
    <row r="1" spans="1:16" ht="15" thickBot="1" x14ac:dyDescent="0.35">
      <c r="N1" s="297" t="s">
        <v>82</v>
      </c>
      <c r="O1" s="298"/>
      <c r="P1" s="299"/>
    </row>
    <row r="2" spans="1:16" ht="15" thickBot="1" x14ac:dyDescent="0.35">
      <c r="N2" s="4"/>
      <c r="O2" s="300"/>
      <c r="P2" s="4"/>
    </row>
    <row r="3" spans="1:16" ht="15" hidden="1" thickBot="1" x14ac:dyDescent="0.35">
      <c r="A3" s="59" t="s">
        <v>83</v>
      </c>
      <c r="B3" s="288" t="s">
        <v>84</v>
      </c>
      <c r="C3" s="289"/>
      <c r="D3" s="289"/>
      <c r="E3" s="289"/>
      <c r="F3" s="289"/>
      <c r="G3" s="289"/>
      <c r="H3" s="289"/>
      <c r="I3" s="289"/>
      <c r="J3" s="289"/>
      <c r="K3" s="290"/>
      <c r="N3" s="60" t="s">
        <v>85</v>
      </c>
      <c r="O3" s="300"/>
      <c r="P3" s="61" t="s">
        <v>80</v>
      </c>
    </row>
    <row r="4" spans="1:16" ht="15" hidden="1" thickBot="1" x14ac:dyDescent="0.35">
      <c r="A4" s="62" t="s">
        <v>86</v>
      </c>
      <c r="B4" s="301" t="s">
        <v>142</v>
      </c>
      <c r="C4" s="302"/>
      <c r="D4" s="302"/>
      <c r="E4" s="302"/>
      <c r="F4" s="302"/>
      <c r="G4" s="302"/>
      <c r="H4" s="302"/>
      <c r="I4" s="302"/>
      <c r="J4" s="302"/>
      <c r="K4" s="303"/>
      <c r="N4" s="4"/>
      <c r="O4" s="300"/>
      <c r="P4" s="4"/>
    </row>
    <row r="5" spans="1:16" ht="15" hidden="1" thickBot="1" x14ac:dyDescent="0.35">
      <c r="A5" s="63" t="s">
        <v>87</v>
      </c>
      <c r="B5" s="285" t="s">
        <v>88</v>
      </c>
      <c r="C5" s="286"/>
      <c r="D5" s="286"/>
      <c r="E5" s="286"/>
      <c r="F5" s="286"/>
      <c r="G5" s="286"/>
      <c r="H5" s="286"/>
      <c r="I5" s="286"/>
      <c r="J5" s="286"/>
      <c r="K5" s="287"/>
      <c r="N5" s="4"/>
      <c r="O5" s="300"/>
      <c r="P5" s="4"/>
    </row>
    <row r="6" spans="1:16" ht="15" hidden="1" thickBot="1" x14ac:dyDescent="0.35">
      <c r="N6" s="4"/>
      <c r="O6" s="300"/>
      <c r="P6" s="4"/>
    </row>
    <row r="7" spans="1:16" ht="15" thickBot="1" x14ac:dyDescent="0.35">
      <c r="A7" s="62" t="s">
        <v>83</v>
      </c>
      <c r="B7" s="304" t="s">
        <v>211</v>
      </c>
      <c r="C7" s="305"/>
      <c r="D7" s="305"/>
      <c r="E7" s="305"/>
      <c r="F7" s="305"/>
      <c r="G7" s="305"/>
      <c r="H7" s="305"/>
      <c r="I7" s="305"/>
      <c r="J7" s="305"/>
      <c r="K7" s="306"/>
      <c r="N7" s="60" t="s">
        <v>89</v>
      </c>
      <c r="O7" s="300"/>
      <c r="P7" s="61" t="s">
        <v>80</v>
      </c>
    </row>
    <row r="8" spans="1:16" ht="15" thickBot="1" x14ac:dyDescent="0.35">
      <c r="A8" s="64" t="s">
        <v>83</v>
      </c>
      <c r="B8" s="288" t="s">
        <v>212</v>
      </c>
      <c r="C8" s="289"/>
      <c r="D8" s="289"/>
      <c r="E8" s="289"/>
      <c r="F8" s="289"/>
      <c r="G8" s="289"/>
      <c r="H8" s="289"/>
      <c r="I8" s="289"/>
      <c r="J8" s="289"/>
      <c r="K8" s="290"/>
      <c r="N8" s="60" t="s">
        <v>90</v>
      </c>
      <c r="O8" s="300"/>
      <c r="P8" s="61" t="s">
        <v>80</v>
      </c>
    </row>
    <row r="9" spans="1:16" x14ac:dyDescent="0.3">
      <c r="A9" s="62" t="s">
        <v>86</v>
      </c>
      <c r="B9" s="301" t="s">
        <v>143</v>
      </c>
      <c r="C9" s="302"/>
      <c r="D9" s="302"/>
      <c r="E9" s="302"/>
      <c r="F9" s="302"/>
      <c r="G9" s="302"/>
      <c r="H9" s="302"/>
      <c r="I9" s="302"/>
      <c r="J9" s="302"/>
      <c r="K9" s="303"/>
      <c r="N9" s="4"/>
      <c r="O9" s="300"/>
      <c r="P9" s="4"/>
    </row>
    <row r="10" spans="1:16" ht="15" thickBot="1" x14ac:dyDescent="0.35">
      <c r="A10" s="63" t="s">
        <v>87</v>
      </c>
      <c r="B10" s="285" t="s">
        <v>91</v>
      </c>
      <c r="C10" s="286"/>
      <c r="D10" s="286"/>
      <c r="E10" s="286"/>
      <c r="F10" s="286"/>
      <c r="G10" s="286"/>
      <c r="H10" s="286"/>
      <c r="I10" s="286"/>
      <c r="J10" s="286"/>
      <c r="K10" s="287"/>
      <c r="N10" s="4"/>
      <c r="O10" s="300"/>
      <c r="P10" s="4"/>
    </row>
    <row r="11" spans="1:16" ht="15" thickBot="1" x14ac:dyDescent="0.35">
      <c r="N11" s="4"/>
      <c r="O11" s="300"/>
      <c r="P11" s="4"/>
    </row>
    <row r="12" spans="1:16" ht="15" thickBot="1" x14ac:dyDescent="0.35">
      <c r="A12" s="62" t="s">
        <v>83</v>
      </c>
      <c r="B12" s="304" t="s">
        <v>213</v>
      </c>
      <c r="C12" s="305"/>
      <c r="D12" s="305"/>
      <c r="E12" s="305"/>
      <c r="F12" s="305"/>
      <c r="G12" s="305"/>
      <c r="H12" s="305"/>
      <c r="I12" s="305"/>
      <c r="J12" s="305"/>
      <c r="K12" s="306"/>
      <c r="N12" s="60" t="s">
        <v>92</v>
      </c>
      <c r="O12" s="65"/>
      <c r="P12" s="61" t="s">
        <v>80</v>
      </c>
    </row>
    <row r="13" spans="1:16" ht="15" thickBot="1" x14ac:dyDescent="0.35">
      <c r="A13" s="63" t="s">
        <v>83</v>
      </c>
      <c r="B13" s="294" t="s">
        <v>214</v>
      </c>
      <c r="C13" s="295"/>
      <c r="D13" s="295"/>
      <c r="E13" s="295"/>
      <c r="F13" s="295"/>
      <c r="G13" s="295"/>
      <c r="H13" s="295"/>
      <c r="I13" s="295"/>
      <c r="J13" s="295"/>
      <c r="K13" s="296"/>
      <c r="N13" s="60" t="s">
        <v>93</v>
      </c>
      <c r="O13" s="65"/>
      <c r="P13" s="61" t="s">
        <v>80</v>
      </c>
    </row>
    <row r="14" spans="1:16" ht="15" hidden="1" thickBot="1" x14ac:dyDescent="0.35">
      <c r="A14" s="66" t="s">
        <v>83</v>
      </c>
      <c r="B14" s="307" t="s">
        <v>94</v>
      </c>
      <c r="C14" s="308"/>
      <c r="D14" s="308"/>
      <c r="E14" s="308"/>
      <c r="F14" s="308"/>
      <c r="G14" s="308"/>
      <c r="H14" s="308"/>
      <c r="I14" s="308"/>
      <c r="J14" s="308"/>
      <c r="K14" s="309"/>
      <c r="N14" s="60" t="s">
        <v>92</v>
      </c>
      <c r="O14" s="65"/>
      <c r="P14" s="67" t="s">
        <v>80</v>
      </c>
    </row>
    <row r="15" spans="1:16" ht="15" thickBot="1" x14ac:dyDescent="0.35">
      <c r="A15" s="66" t="s">
        <v>86</v>
      </c>
      <c r="B15" s="282" t="s">
        <v>144</v>
      </c>
      <c r="C15" s="283"/>
      <c r="D15" s="283"/>
      <c r="E15" s="283"/>
      <c r="F15" s="283"/>
      <c r="G15" s="283"/>
      <c r="H15" s="283"/>
      <c r="I15" s="283"/>
      <c r="J15" s="283"/>
      <c r="K15" s="284"/>
      <c r="O15" s="65"/>
    </row>
    <row r="16" spans="1:16" ht="15" thickBot="1" x14ac:dyDescent="0.35">
      <c r="A16" s="63" t="s">
        <v>87</v>
      </c>
      <c r="B16" s="285" t="s">
        <v>95</v>
      </c>
      <c r="C16" s="286"/>
      <c r="D16" s="286"/>
      <c r="E16" s="286"/>
      <c r="F16" s="286"/>
      <c r="G16" s="286"/>
      <c r="H16" s="286"/>
      <c r="I16" s="286"/>
      <c r="J16" s="286"/>
      <c r="K16" s="287"/>
      <c r="O16" s="65"/>
    </row>
    <row r="17" spans="1:16" ht="15" thickBot="1" x14ac:dyDescent="0.35">
      <c r="O17" s="65"/>
    </row>
    <row r="18" spans="1:16" ht="15" thickBot="1" x14ac:dyDescent="0.35">
      <c r="A18" s="68" t="s">
        <v>83</v>
      </c>
      <c r="B18" s="307" t="s">
        <v>215</v>
      </c>
      <c r="C18" s="308"/>
      <c r="D18" s="308"/>
      <c r="E18" s="308"/>
      <c r="F18" s="308"/>
      <c r="G18" s="308"/>
      <c r="H18" s="308"/>
      <c r="I18" s="308"/>
      <c r="J18" s="308"/>
      <c r="K18" s="310"/>
      <c r="M18" s="69"/>
      <c r="N18" s="70" t="s">
        <v>96</v>
      </c>
      <c r="O18" s="71"/>
      <c r="P18" s="70" t="s">
        <v>80</v>
      </c>
    </row>
    <row r="19" spans="1:16" x14ac:dyDescent="0.3">
      <c r="A19" s="68" t="s">
        <v>86</v>
      </c>
      <c r="B19" s="311" t="s">
        <v>142</v>
      </c>
      <c r="C19" s="312"/>
      <c r="D19" s="312"/>
      <c r="E19" s="312"/>
      <c r="F19" s="312"/>
      <c r="G19" s="312"/>
      <c r="H19" s="312"/>
      <c r="I19" s="312"/>
      <c r="J19" s="312"/>
      <c r="K19" s="313"/>
      <c r="M19" s="69"/>
      <c r="N19" s="55"/>
      <c r="O19" s="71"/>
      <c r="P19" s="55"/>
    </row>
    <row r="20" spans="1:16" ht="15" thickBot="1" x14ac:dyDescent="0.35">
      <c r="A20" s="63" t="s">
        <v>87</v>
      </c>
      <c r="B20" s="314" t="s">
        <v>97</v>
      </c>
      <c r="C20" s="315"/>
      <c r="D20" s="315"/>
      <c r="E20" s="315"/>
      <c r="F20" s="315"/>
      <c r="G20" s="315"/>
      <c r="H20" s="315"/>
      <c r="I20" s="315"/>
      <c r="J20" s="315"/>
      <c r="K20" s="316"/>
      <c r="M20" s="69"/>
      <c r="N20" s="55"/>
      <c r="O20" s="71"/>
      <c r="P20" s="55"/>
    </row>
    <row r="21" spans="1:16" ht="15" thickBot="1" x14ac:dyDescent="0.35">
      <c r="N21" s="55"/>
      <c r="O21" s="71"/>
      <c r="P21" s="55"/>
    </row>
    <row r="22" spans="1:16" ht="15" thickBot="1" x14ac:dyDescent="0.35">
      <c r="A22" s="62" t="s">
        <v>83</v>
      </c>
      <c r="B22" s="307" t="s">
        <v>216</v>
      </c>
      <c r="C22" s="308"/>
      <c r="D22" s="308"/>
      <c r="E22" s="308"/>
      <c r="F22" s="308"/>
      <c r="G22" s="308"/>
      <c r="H22" s="308"/>
      <c r="I22" s="308"/>
      <c r="J22" s="308"/>
      <c r="K22" s="310"/>
      <c r="M22" s="69"/>
      <c r="N22" s="70" t="s">
        <v>96</v>
      </c>
      <c r="O22" s="71"/>
      <c r="P22" s="70" t="s">
        <v>80</v>
      </c>
    </row>
    <row r="23" spans="1:16" x14ac:dyDescent="0.3">
      <c r="A23" s="68" t="s">
        <v>86</v>
      </c>
      <c r="B23" s="311" t="s">
        <v>145</v>
      </c>
      <c r="C23" s="312"/>
      <c r="D23" s="312"/>
      <c r="E23" s="312"/>
      <c r="F23" s="312"/>
      <c r="G23" s="312"/>
      <c r="H23" s="312"/>
      <c r="I23" s="312"/>
      <c r="J23" s="312"/>
      <c r="K23" s="313"/>
      <c r="M23" s="69"/>
      <c r="N23" s="55"/>
      <c r="O23" s="71"/>
      <c r="P23" s="55"/>
    </row>
    <row r="24" spans="1:16" ht="15" thickBot="1" x14ac:dyDescent="0.35">
      <c r="A24" s="63" t="s">
        <v>87</v>
      </c>
      <c r="B24" s="314" t="s">
        <v>98</v>
      </c>
      <c r="C24" s="315"/>
      <c r="D24" s="315"/>
      <c r="E24" s="315"/>
      <c r="F24" s="315"/>
      <c r="G24" s="315"/>
      <c r="H24" s="315"/>
      <c r="I24" s="315"/>
      <c r="J24" s="315"/>
      <c r="K24" s="316"/>
      <c r="M24" s="69"/>
      <c r="N24" s="55"/>
      <c r="O24" s="71"/>
      <c r="P24" s="55"/>
    </row>
    <row r="25" spans="1:16" ht="15" thickBot="1" x14ac:dyDescent="0.35">
      <c r="N25" s="55"/>
      <c r="O25" s="71"/>
      <c r="P25" s="55"/>
    </row>
    <row r="26" spans="1:16" ht="15" thickBot="1" x14ac:dyDescent="0.35">
      <c r="A26" s="62" t="s">
        <v>83</v>
      </c>
      <c r="B26" s="307" t="s">
        <v>217</v>
      </c>
      <c r="C26" s="308"/>
      <c r="D26" s="308"/>
      <c r="E26" s="308"/>
      <c r="F26" s="308"/>
      <c r="G26" s="308"/>
      <c r="H26" s="308"/>
      <c r="I26" s="308"/>
      <c r="J26" s="308"/>
      <c r="K26" s="310"/>
      <c r="M26" s="69"/>
      <c r="N26" s="70" t="s">
        <v>99</v>
      </c>
      <c r="O26" s="71"/>
      <c r="P26" s="70" t="s">
        <v>80</v>
      </c>
    </row>
    <row r="27" spans="1:16" x14ac:dyDescent="0.3">
      <c r="A27" s="68" t="s">
        <v>86</v>
      </c>
      <c r="B27" s="317" t="s">
        <v>197</v>
      </c>
      <c r="C27" s="318"/>
      <c r="D27" s="318"/>
      <c r="E27" s="318"/>
      <c r="F27" s="318"/>
      <c r="G27" s="318"/>
      <c r="H27" s="318"/>
      <c r="I27" s="318"/>
      <c r="J27" s="318"/>
      <c r="K27" s="319"/>
      <c r="M27" s="72"/>
      <c r="O27" s="65"/>
    </row>
    <row r="28" spans="1:16" ht="15" thickBot="1" x14ac:dyDescent="0.35">
      <c r="A28" s="63" t="s">
        <v>87</v>
      </c>
      <c r="B28" s="320" t="s">
        <v>192</v>
      </c>
      <c r="C28" s="321"/>
      <c r="D28" s="321"/>
      <c r="E28" s="321"/>
      <c r="F28" s="321"/>
      <c r="G28" s="321"/>
      <c r="H28" s="321"/>
      <c r="I28" s="321"/>
      <c r="J28" s="321"/>
      <c r="K28" s="322"/>
      <c r="M28" s="72"/>
      <c r="O28" s="65"/>
    </row>
    <row r="29" spans="1:16" ht="15" thickBot="1" x14ac:dyDescent="0.35">
      <c r="M29" s="73"/>
      <c r="O29" s="65"/>
    </row>
    <row r="30" spans="1:16" ht="15" thickBot="1" x14ac:dyDescent="0.35">
      <c r="A30" s="62" t="s">
        <v>83</v>
      </c>
      <c r="B30" s="294" t="s">
        <v>100</v>
      </c>
      <c r="C30" s="295"/>
      <c r="D30" s="295"/>
      <c r="E30" s="295"/>
      <c r="F30" s="295"/>
      <c r="G30" s="295"/>
      <c r="H30" s="295"/>
      <c r="I30" s="295"/>
      <c r="J30" s="295"/>
      <c r="K30" s="296"/>
      <c r="N30" s="60" t="s">
        <v>101</v>
      </c>
      <c r="O30" s="65"/>
      <c r="P30" s="61" t="s">
        <v>80</v>
      </c>
    </row>
    <row r="31" spans="1:16" ht="15" thickBot="1" x14ac:dyDescent="0.35">
      <c r="A31" s="66" t="s">
        <v>86</v>
      </c>
      <c r="B31" s="282" t="s">
        <v>144</v>
      </c>
      <c r="C31" s="283"/>
      <c r="D31" s="283"/>
      <c r="E31" s="283"/>
      <c r="F31" s="283"/>
      <c r="G31" s="283"/>
      <c r="H31" s="283"/>
      <c r="I31" s="283"/>
      <c r="J31" s="283"/>
      <c r="K31" s="284"/>
      <c r="O31" s="65"/>
    </row>
    <row r="32" spans="1:16" ht="15" thickBot="1" x14ac:dyDescent="0.35">
      <c r="A32" s="63" t="s">
        <v>87</v>
      </c>
      <c r="B32" s="285" t="s">
        <v>95</v>
      </c>
      <c r="C32" s="286"/>
      <c r="D32" s="286"/>
      <c r="E32" s="286"/>
      <c r="F32" s="286"/>
      <c r="G32" s="286"/>
      <c r="H32" s="286"/>
      <c r="I32" s="286"/>
      <c r="J32" s="286"/>
      <c r="K32" s="287"/>
      <c r="O32" s="65"/>
    </row>
    <row r="33" spans="1:16" ht="15" thickBot="1" x14ac:dyDescent="0.35">
      <c r="O33" s="65"/>
    </row>
    <row r="34" spans="1:16" ht="15" thickBot="1" x14ac:dyDescent="0.35">
      <c r="A34" s="62" t="s">
        <v>83</v>
      </c>
      <c r="B34" s="294" t="s">
        <v>102</v>
      </c>
      <c r="C34" s="295"/>
      <c r="D34" s="295"/>
      <c r="E34" s="295"/>
      <c r="F34" s="295"/>
      <c r="G34" s="295"/>
      <c r="H34" s="295"/>
      <c r="I34" s="295"/>
      <c r="J34" s="295"/>
      <c r="K34" s="296"/>
      <c r="N34" s="60" t="s">
        <v>103</v>
      </c>
      <c r="O34" s="65"/>
      <c r="P34" s="61" t="s">
        <v>80</v>
      </c>
    </row>
    <row r="35" spans="1:16" ht="15" thickBot="1" x14ac:dyDescent="0.35">
      <c r="A35" s="66" t="s">
        <v>86</v>
      </c>
      <c r="B35" s="282" t="s">
        <v>144</v>
      </c>
      <c r="C35" s="283"/>
      <c r="D35" s="283"/>
      <c r="E35" s="283"/>
      <c r="F35" s="283"/>
      <c r="G35" s="283"/>
      <c r="H35" s="283"/>
      <c r="I35" s="283"/>
      <c r="J35" s="283"/>
      <c r="K35" s="284"/>
      <c r="O35" s="65"/>
    </row>
    <row r="36" spans="1:16" ht="15" thickBot="1" x14ac:dyDescent="0.35">
      <c r="A36" s="63" t="s">
        <v>87</v>
      </c>
      <c r="B36" s="285" t="s">
        <v>95</v>
      </c>
      <c r="C36" s="286"/>
      <c r="D36" s="286"/>
      <c r="E36" s="286"/>
      <c r="F36" s="286"/>
      <c r="G36" s="286"/>
      <c r="H36" s="286"/>
      <c r="I36" s="286"/>
      <c r="J36" s="286"/>
      <c r="K36" s="287"/>
      <c r="O36" s="65"/>
    </row>
    <row r="37" spans="1:16" x14ac:dyDescent="0.3">
      <c r="O37" s="65"/>
    </row>
    <row r="38" spans="1:16" ht="15" hidden="1" thickBot="1" x14ac:dyDescent="0.35">
      <c r="A38" s="62" t="s">
        <v>83</v>
      </c>
      <c r="B38" s="288" t="s">
        <v>104</v>
      </c>
      <c r="C38" s="289"/>
      <c r="D38" s="289"/>
      <c r="E38" s="289"/>
      <c r="F38" s="289"/>
      <c r="G38" s="289"/>
      <c r="H38" s="289"/>
      <c r="I38" s="289"/>
      <c r="J38" s="289"/>
      <c r="K38" s="290"/>
      <c r="N38" s="60" t="s">
        <v>105</v>
      </c>
      <c r="O38" s="65"/>
      <c r="P38" s="61" t="s">
        <v>80</v>
      </c>
    </row>
    <row r="39" spans="1:16" ht="15" hidden="1" thickBot="1" x14ac:dyDescent="0.35">
      <c r="A39" s="66" t="s">
        <v>86</v>
      </c>
      <c r="B39" s="291" t="s">
        <v>191</v>
      </c>
      <c r="C39" s="292"/>
      <c r="D39" s="292"/>
      <c r="E39" s="292"/>
      <c r="F39" s="292"/>
      <c r="G39" s="292"/>
      <c r="H39" s="292"/>
      <c r="I39" s="292"/>
      <c r="J39" s="292"/>
      <c r="K39" s="293"/>
      <c r="O39" s="65"/>
    </row>
    <row r="40" spans="1:16" ht="15" hidden="1" thickBot="1" x14ac:dyDescent="0.35">
      <c r="A40" s="63" t="s">
        <v>87</v>
      </c>
      <c r="B40" s="285" t="s">
        <v>106</v>
      </c>
      <c r="C40" s="286"/>
      <c r="D40" s="286"/>
      <c r="E40" s="286"/>
      <c r="F40" s="286"/>
      <c r="G40" s="286"/>
      <c r="H40" s="286"/>
      <c r="I40" s="286"/>
      <c r="J40" s="286"/>
      <c r="K40" s="287"/>
      <c r="O40" s="65"/>
    </row>
    <row r="41" spans="1:16" ht="15" thickBot="1" x14ac:dyDescent="0.35"/>
    <row r="42" spans="1:16" ht="16.2" thickBot="1" x14ac:dyDescent="0.35">
      <c r="A42" s="280" t="s">
        <v>196</v>
      </c>
      <c r="B42" s="281"/>
      <c r="F42" s="280" t="s">
        <v>194</v>
      </c>
      <c r="G42" s="281"/>
      <c r="K42" s="280" t="s">
        <v>195</v>
      </c>
      <c r="L42" s="281"/>
      <c r="N42"/>
    </row>
    <row r="43" spans="1:16" ht="15" thickBot="1" x14ac:dyDescent="0.35">
      <c r="A43" s="74" t="s">
        <v>80</v>
      </c>
      <c r="B43" s="75" t="s">
        <v>107</v>
      </c>
      <c r="C43" s="76" t="s">
        <v>108</v>
      </c>
      <c r="D43" s="76" t="s">
        <v>109</v>
      </c>
      <c r="F43" s="74" t="s">
        <v>80</v>
      </c>
      <c r="G43" s="75" t="s">
        <v>107</v>
      </c>
      <c r="H43" s="76" t="s">
        <v>108</v>
      </c>
      <c r="I43" s="76" t="s">
        <v>109</v>
      </c>
      <c r="K43" s="74" t="s">
        <v>80</v>
      </c>
      <c r="L43" s="75" t="s">
        <v>107</v>
      </c>
      <c r="M43" s="76" t="s">
        <v>108</v>
      </c>
      <c r="N43" s="76" t="s">
        <v>109</v>
      </c>
    </row>
    <row r="44" spans="1:16" ht="15" thickBot="1" x14ac:dyDescent="0.35">
      <c r="A44" s="77" t="s">
        <v>47</v>
      </c>
      <c r="B44" s="78" t="s">
        <v>20</v>
      </c>
      <c r="C44" s="79" t="s">
        <v>51</v>
      </c>
      <c r="D44" s="79">
        <v>220</v>
      </c>
      <c r="F44" s="169" t="s">
        <v>47</v>
      </c>
      <c r="G44" s="78" t="s">
        <v>20</v>
      </c>
      <c r="H44" s="170" t="s">
        <v>51</v>
      </c>
      <c r="I44" s="170">
        <v>415</v>
      </c>
      <c r="K44" s="169" t="s">
        <v>47</v>
      </c>
      <c r="L44" s="78" t="s">
        <v>22</v>
      </c>
      <c r="M44" s="170" t="s">
        <v>51</v>
      </c>
      <c r="N44" s="170">
        <v>250</v>
      </c>
    </row>
    <row r="45" spans="1:16" ht="15" thickBot="1" x14ac:dyDescent="0.35">
      <c r="A45" s="77" t="s">
        <v>45</v>
      </c>
      <c r="B45" s="78" t="s">
        <v>20</v>
      </c>
      <c r="C45" s="79" t="s">
        <v>51</v>
      </c>
      <c r="D45" s="79">
        <v>220</v>
      </c>
      <c r="F45" s="169" t="s">
        <v>45</v>
      </c>
      <c r="G45" s="78" t="s">
        <v>20</v>
      </c>
      <c r="H45" s="170" t="s">
        <v>51</v>
      </c>
      <c r="I45" s="170">
        <v>415</v>
      </c>
      <c r="K45" s="169" t="s">
        <v>45</v>
      </c>
      <c r="L45" s="78" t="s">
        <v>22</v>
      </c>
      <c r="M45" s="170" t="s">
        <v>51</v>
      </c>
      <c r="N45" s="170">
        <v>250</v>
      </c>
    </row>
    <row r="46" spans="1:16" ht="15" thickBot="1" x14ac:dyDescent="0.35">
      <c r="A46" s="77" t="s">
        <v>9</v>
      </c>
      <c r="B46" s="78" t="s">
        <v>20</v>
      </c>
      <c r="C46" s="79" t="s">
        <v>51</v>
      </c>
      <c r="D46" s="79">
        <v>220</v>
      </c>
      <c r="F46" s="169" t="s">
        <v>9</v>
      </c>
      <c r="G46" s="78" t="s">
        <v>20</v>
      </c>
      <c r="H46" s="170" t="s">
        <v>51</v>
      </c>
      <c r="I46" s="170">
        <v>415</v>
      </c>
      <c r="K46" s="169" t="s">
        <v>9</v>
      </c>
      <c r="L46" s="78" t="s">
        <v>20</v>
      </c>
      <c r="M46" s="170" t="s">
        <v>51</v>
      </c>
      <c r="N46" s="170">
        <v>295</v>
      </c>
    </row>
    <row r="47" spans="1:16" ht="15" thickBot="1" x14ac:dyDescent="0.35">
      <c r="A47" s="77" t="s">
        <v>16</v>
      </c>
      <c r="B47" s="78" t="s">
        <v>28</v>
      </c>
      <c r="C47" s="79" t="s">
        <v>51</v>
      </c>
      <c r="D47" s="79">
        <v>240</v>
      </c>
      <c r="F47" s="169" t="s">
        <v>16</v>
      </c>
      <c r="G47" s="78" t="s">
        <v>28</v>
      </c>
      <c r="H47" s="170" t="s">
        <v>51</v>
      </c>
      <c r="I47" s="170">
        <v>455</v>
      </c>
      <c r="K47" s="169" t="s">
        <v>16</v>
      </c>
      <c r="L47" s="78" t="s">
        <v>20</v>
      </c>
      <c r="M47" s="170" t="s">
        <v>51</v>
      </c>
      <c r="N47" s="170">
        <v>295</v>
      </c>
    </row>
    <row r="48" spans="1:16" ht="15" thickBot="1" x14ac:dyDescent="0.35">
      <c r="A48" s="77" t="s">
        <v>26</v>
      </c>
      <c r="B48" s="78" t="s">
        <v>28</v>
      </c>
      <c r="C48" s="79" t="s">
        <v>51</v>
      </c>
      <c r="D48" s="79">
        <v>240</v>
      </c>
      <c r="F48" s="169" t="s">
        <v>26</v>
      </c>
      <c r="G48" s="78" t="s">
        <v>28</v>
      </c>
      <c r="H48" s="170" t="s">
        <v>51</v>
      </c>
      <c r="I48" s="170">
        <v>455</v>
      </c>
      <c r="K48" s="169" t="s">
        <v>26</v>
      </c>
      <c r="L48" s="78" t="s">
        <v>28</v>
      </c>
      <c r="M48" s="170" t="s">
        <v>51</v>
      </c>
      <c r="N48" s="170">
        <v>345</v>
      </c>
    </row>
    <row r="49" spans="1:14" ht="15" thickBot="1" x14ac:dyDescent="0.35">
      <c r="A49" s="77" t="s">
        <v>18</v>
      </c>
      <c r="B49" s="78" t="s">
        <v>45</v>
      </c>
      <c r="C49" s="79" t="s">
        <v>51</v>
      </c>
      <c r="D49" s="79">
        <v>255</v>
      </c>
      <c r="F49" s="169" t="s">
        <v>18</v>
      </c>
      <c r="G49" s="78" t="s">
        <v>45</v>
      </c>
      <c r="H49" s="170" t="s">
        <v>51</v>
      </c>
      <c r="I49" s="170">
        <v>505</v>
      </c>
      <c r="K49" s="169" t="s">
        <v>18</v>
      </c>
      <c r="L49" s="78" t="s">
        <v>28</v>
      </c>
      <c r="M49" s="170" t="s">
        <v>51</v>
      </c>
      <c r="N49" s="170">
        <v>345</v>
      </c>
    </row>
    <row r="50" spans="1:14" ht="15" thickBot="1" x14ac:dyDescent="0.35">
      <c r="A50" s="77" t="s">
        <v>20</v>
      </c>
      <c r="B50" s="78" t="s">
        <v>45</v>
      </c>
      <c r="C50" s="79" t="s">
        <v>51</v>
      </c>
      <c r="D50" s="79">
        <v>255</v>
      </c>
      <c r="F50" s="169" t="s">
        <v>20</v>
      </c>
      <c r="G50" s="78" t="s">
        <v>45</v>
      </c>
      <c r="H50" s="170" t="s">
        <v>51</v>
      </c>
      <c r="I50" s="170">
        <v>505</v>
      </c>
      <c r="K50" s="169" t="s">
        <v>20</v>
      </c>
      <c r="L50" s="78" t="s">
        <v>45</v>
      </c>
      <c r="M50" s="170" t="s">
        <v>51</v>
      </c>
      <c r="N50" s="170">
        <v>395</v>
      </c>
    </row>
    <row r="51" spans="1:14" ht="15" thickBot="1" x14ac:dyDescent="0.35">
      <c r="A51" s="77" t="s">
        <v>22</v>
      </c>
      <c r="B51" s="78" t="s">
        <v>26</v>
      </c>
      <c r="C51" s="79" t="s">
        <v>51</v>
      </c>
      <c r="D51" s="79">
        <v>290</v>
      </c>
      <c r="F51" s="169" t="s">
        <v>22</v>
      </c>
      <c r="G51" s="78" t="s">
        <v>26</v>
      </c>
      <c r="H51" s="170" t="s">
        <v>51</v>
      </c>
      <c r="I51" s="170">
        <v>540</v>
      </c>
      <c r="K51" s="169" t="s">
        <v>22</v>
      </c>
      <c r="L51" s="78" t="s">
        <v>45</v>
      </c>
      <c r="M51" s="170" t="s">
        <v>51</v>
      </c>
      <c r="N51" s="170">
        <v>395</v>
      </c>
    </row>
    <row r="52" spans="1:14" ht="15" thickBot="1" x14ac:dyDescent="0.35">
      <c r="A52" s="77" t="s">
        <v>24</v>
      </c>
      <c r="B52" s="78" t="s">
        <v>26</v>
      </c>
      <c r="C52" s="79" t="s">
        <v>51</v>
      </c>
      <c r="D52" s="79">
        <v>290</v>
      </c>
      <c r="F52" s="169" t="s">
        <v>24</v>
      </c>
      <c r="G52" s="78" t="s">
        <v>26</v>
      </c>
      <c r="H52" s="170" t="s">
        <v>51</v>
      </c>
      <c r="I52" s="170">
        <v>540</v>
      </c>
      <c r="K52" s="169" t="s">
        <v>24</v>
      </c>
      <c r="L52" s="78" t="s">
        <v>26</v>
      </c>
      <c r="M52" s="170" t="s">
        <v>51</v>
      </c>
      <c r="N52" s="170">
        <v>435</v>
      </c>
    </row>
    <row r="53" spans="1:14" ht="15" thickBot="1" x14ac:dyDescent="0.35">
      <c r="A53" s="77" t="s">
        <v>27</v>
      </c>
      <c r="B53" s="78" t="s">
        <v>26</v>
      </c>
      <c r="C53" s="79" t="s">
        <v>51</v>
      </c>
      <c r="D53" s="79">
        <v>290</v>
      </c>
      <c r="F53" s="169" t="s">
        <v>27</v>
      </c>
      <c r="G53" s="78" t="s">
        <v>26</v>
      </c>
      <c r="H53" s="170" t="s">
        <v>51</v>
      </c>
      <c r="I53" s="170">
        <v>540</v>
      </c>
      <c r="K53" s="169" t="s">
        <v>27</v>
      </c>
      <c r="L53" s="78" t="s">
        <v>26</v>
      </c>
      <c r="M53" s="170" t="s">
        <v>51</v>
      </c>
      <c r="N53" s="170">
        <v>435</v>
      </c>
    </row>
    <row r="54" spans="1:14" ht="15" thickBot="1" x14ac:dyDescent="0.35">
      <c r="A54" s="77" t="s">
        <v>28</v>
      </c>
      <c r="B54" s="78" t="s">
        <v>29</v>
      </c>
      <c r="C54" s="79" t="s">
        <v>51</v>
      </c>
      <c r="D54" s="79">
        <v>300</v>
      </c>
      <c r="F54" s="169" t="s">
        <v>28</v>
      </c>
      <c r="G54" s="78" t="s">
        <v>29</v>
      </c>
      <c r="H54" s="170" t="s">
        <v>51</v>
      </c>
      <c r="I54" s="170">
        <v>570</v>
      </c>
      <c r="K54" s="169" t="s">
        <v>28</v>
      </c>
      <c r="L54" s="78" t="s">
        <v>29</v>
      </c>
      <c r="M54" s="170" t="s">
        <v>51</v>
      </c>
      <c r="N54" s="170">
        <v>500</v>
      </c>
    </row>
    <row r="55" spans="1:14" ht="15" thickBot="1" x14ac:dyDescent="0.35">
      <c r="A55" s="77" t="s">
        <v>29</v>
      </c>
      <c r="B55" s="78" t="s">
        <v>29</v>
      </c>
      <c r="C55" s="79" t="s">
        <v>51</v>
      </c>
      <c r="D55" s="79">
        <v>300</v>
      </c>
      <c r="F55" s="169" t="s">
        <v>29</v>
      </c>
      <c r="G55" s="78" t="s">
        <v>29</v>
      </c>
      <c r="H55" s="170" t="s">
        <v>51</v>
      </c>
      <c r="I55" s="170">
        <v>570</v>
      </c>
      <c r="K55" s="169" t="s">
        <v>29</v>
      </c>
      <c r="L55" s="78" t="s">
        <v>27</v>
      </c>
      <c r="M55" s="170" t="s">
        <v>51</v>
      </c>
      <c r="N55" s="170">
        <v>570</v>
      </c>
    </row>
    <row r="56" spans="1:14" ht="15" thickBot="1" x14ac:dyDescent="0.35">
      <c r="A56" s="77" t="s">
        <v>46</v>
      </c>
      <c r="B56" s="78" t="s">
        <v>29</v>
      </c>
      <c r="C56" s="79" t="s">
        <v>51</v>
      </c>
      <c r="D56" s="79">
        <v>300</v>
      </c>
      <c r="F56" s="169" t="s">
        <v>46</v>
      </c>
      <c r="G56" s="78" t="s">
        <v>29</v>
      </c>
      <c r="H56" s="170" t="s">
        <v>51</v>
      </c>
      <c r="I56" s="170">
        <v>570</v>
      </c>
      <c r="K56" s="169" t="s">
        <v>46</v>
      </c>
      <c r="L56" s="78" t="s">
        <v>46</v>
      </c>
      <c r="M56" s="170" t="s">
        <v>51</v>
      </c>
      <c r="N56" s="170">
        <v>650</v>
      </c>
    </row>
    <row r="57" spans="1:14" ht="15" thickBot="1" x14ac:dyDescent="0.35">
      <c r="A57" s="77" t="s">
        <v>81</v>
      </c>
      <c r="B57" s="78" t="s">
        <v>29</v>
      </c>
      <c r="C57" s="79" t="s">
        <v>51</v>
      </c>
      <c r="D57" s="79">
        <v>300</v>
      </c>
      <c r="F57" s="169" t="s">
        <v>81</v>
      </c>
      <c r="G57" s="78" t="s">
        <v>29</v>
      </c>
      <c r="H57" s="170" t="s">
        <v>51</v>
      </c>
      <c r="I57" s="170">
        <v>570</v>
      </c>
      <c r="K57" s="169" t="s">
        <v>81</v>
      </c>
      <c r="L57" s="78" t="s">
        <v>81</v>
      </c>
      <c r="M57" s="170" t="s">
        <v>51</v>
      </c>
      <c r="N57" s="170">
        <v>650</v>
      </c>
    </row>
  </sheetData>
  <mergeCells count="35">
    <mergeCell ref="B35:K35"/>
    <mergeCell ref="B36:K36"/>
    <mergeCell ref="B38:K38"/>
    <mergeCell ref="B39:K39"/>
    <mergeCell ref="B40:K40"/>
    <mergeCell ref="A42:B42"/>
    <mergeCell ref="F42:G42"/>
    <mergeCell ref="K42:L42"/>
    <mergeCell ref="B27:K27"/>
    <mergeCell ref="B28:K28"/>
    <mergeCell ref="B30:K30"/>
    <mergeCell ref="B31:K31"/>
    <mergeCell ref="B32:K32"/>
    <mergeCell ref="B34:K34"/>
    <mergeCell ref="B19:K19"/>
    <mergeCell ref="B20:K20"/>
    <mergeCell ref="B22:K22"/>
    <mergeCell ref="B23:K23"/>
    <mergeCell ref="B24:K24"/>
    <mergeCell ref="B26:K26"/>
    <mergeCell ref="B12:K12"/>
    <mergeCell ref="B13:K13"/>
    <mergeCell ref="B14:K14"/>
    <mergeCell ref="B15:K15"/>
    <mergeCell ref="B16:K16"/>
    <mergeCell ref="B18:K18"/>
    <mergeCell ref="N1:P1"/>
    <mergeCell ref="O2:O11"/>
    <mergeCell ref="B3:K3"/>
    <mergeCell ref="B4:K4"/>
    <mergeCell ref="B5:K5"/>
    <mergeCell ref="B7:K7"/>
    <mergeCell ref="B8:K8"/>
    <mergeCell ref="B9:K9"/>
    <mergeCell ref="B10:K10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acd89c4-9369-4fd9-adf2-87f43764d537}" enabled="1" method="Privileged" siteId="{86f73c75-dc8a-4267-9c81-519f1054d10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AKL</vt:lpstr>
      <vt:lpstr>Routings_Chart 1_Working</vt:lpstr>
      <vt:lpstr>with 3 Stops</vt:lpstr>
    </vt:vector>
  </TitlesOfParts>
  <Company>Oman Air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Aloysius Fernandes</dc:creator>
  <cp:lastModifiedBy>Javad Azizi</cp:lastModifiedBy>
  <dcterms:created xsi:type="dcterms:W3CDTF">2026-02-18T10:00:21Z</dcterms:created>
  <dcterms:modified xsi:type="dcterms:W3CDTF">2026-09-02T02:43:19Z</dcterms:modified>
</cp:coreProperties>
</file>